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Daniel\RBs\Analysis Tool\"/>
    </mc:Choice>
  </mc:AlternateContent>
  <bookViews>
    <workbookView xWindow="-105" yWindow="-105" windowWidth="23250" windowHeight="12570"/>
  </bookViews>
  <sheets>
    <sheet name="START HERE" sheetId="11" r:id="rId1"/>
    <sheet name="Instructions" sheetId="12" r:id="rId2"/>
    <sheet name="Mini" sheetId="21" r:id="rId3"/>
    <sheet name="Single Lane" sheetId="6" r:id="rId4"/>
    <sheet name="Multi-Lane" sheetId="19" r:id="rId5"/>
    <sheet name="Multi-Lane v2.0" sheetId="20" state="hidden" r:id="rId6"/>
    <sheet name="Volume Balance Tool" sheetId="18" state="hidden" r:id="rId7"/>
    <sheet name="8" sheetId="5" state="hidden" r:id="rId8"/>
  </sheets>
  <externalReferences>
    <externalReference r:id="rId9"/>
  </externalReferences>
  <definedNames>
    <definedName name="_xlnm.Print_Area" localSheetId="1">Instructions!$A$1:$J$166</definedName>
    <definedName name="_xlnm.Print_Area" localSheetId="2">Mini!$A$1:$J$112</definedName>
    <definedName name="_xlnm.Print_Area" localSheetId="4">'Multi-Lane'!$A$1:$J$198</definedName>
    <definedName name="_xlnm.Print_Area" localSheetId="5">'Multi-Lane v2.0'!$A$1:$I$169</definedName>
    <definedName name="_xlnm.Print_Area" localSheetId="3">'Single Lane'!$A$1:$J$111</definedName>
    <definedName name="_xlnm.Print_Area" localSheetId="0">'START HERE'!$A$1:$AF$52</definedName>
    <definedName name="_xlnm.Print_Area" localSheetId="6">'Volume Balance Tool'!$A$1:$I$137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72" i="19" l="1"/>
  <c r="H173" i="19"/>
  <c r="H165" i="19"/>
  <c r="B6" i="19"/>
  <c r="B3" i="6"/>
  <c r="B8" i="21"/>
  <c r="B2" i="21"/>
  <c r="J146" i="19" l="1"/>
  <c r="C137" i="19" l="1"/>
  <c r="C138" i="19"/>
  <c r="G1" i="21" l="1"/>
  <c r="G1" i="6"/>
  <c r="G1" i="19"/>
  <c r="J73" i="21" l="1"/>
  <c r="J73" i="6"/>
  <c r="B7" i="21" l="1"/>
  <c r="B3" i="21" l="1"/>
  <c r="B4" i="19"/>
  <c r="Y20" i="11" l="1"/>
  <c r="W31" i="11"/>
  <c r="W30" i="11"/>
  <c r="J110" i="21" l="1"/>
  <c r="I110" i="21"/>
  <c r="H110" i="21"/>
  <c r="G110" i="21"/>
  <c r="E110" i="21"/>
  <c r="J109" i="21"/>
  <c r="I109" i="21"/>
  <c r="H109" i="21"/>
  <c r="G109" i="21"/>
  <c r="E109" i="21"/>
  <c r="J98" i="21"/>
  <c r="I98" i="21"/>
  <c r="H98" i="21"/>
  <c r="G98" i="21"/>
  <c r="E98" i="21"/>
  <c r="J94" i="21"/>
  <c r="I94" i="21"/>
  <c r="H94" i="21"/>
  <c r="G94" i="21"/>
  <c r="E94" i="21"/>
  <c r="J93" i="21"/>
  <c r="I93" i="21"/>
  <c r="H93" i="21"/>
  <c r="G93" i="21"/>
  <c r="E93" i="21"/>
  <c r="J92" i="21"/>
  <c r="I92" i="21"/>
  <c r="H92" i="21"/>
  <c r="G92" i="21"/>
  <c r="F92" i="21"/>
  <c r="E92" i="21"/>
  <c r="J24" i="21"/>
  <c r="I24" i="21"/>
  <c r="H24" i="21"/>
  <c r="G24" i="21"/>
  <c r="F24" i="21"/>
  <c r="E24" i="21"/>
  <c r="D24" i="21"/>
  <c r="C24" i="21"/>
  <c r="J21" i="21"/>
  <c r="J29" i="21" s="1"/>
  <c r="J39" i="21" s="1"/>
  <c r="I21" i="21"/>
  <c r="I29" i="21" s="1"/>
  <c r="H21" i="21"/>
  <c r="H29" i="21" s="1"/>
  <c r="H40" i="21" s="1"/>
  <c r="G21" i="21"/>
  <c r="G29" i="21" s="1"/>
  <c r="F93" i="21" s="1"/>
  <c r="F21" i="21"/>
  <c r="F29" i="21" s="1"/>
  <c r="F34" i="21" s="1"/>
  <c r="E21" i="21"/>
  <c r="E29" i="21" s="1"/>
  <c r="D21" i="21"/>
  <c r="D29" i="21" s="1"/>
  <c r="C21" i="21"/>
  <c r="C29" i="21" s="1"/>
  <c r="M8" i="21"/>
  <c r="B6" i="21"/>
  <c r="B5" i="21"/>
  <c r="B4" i="21"/>
  <c r="J100" i="21" l="1"/>
  <c r="G100" i="21"/>
  <c r="G101" i="21" s="1"/>
  <c r="H100" i="21"/>
  <c r="H101" i="21" s="1"/>
  <c r="E100" i="21"/>
  <c r="I100" i="21"/>
  <c r="C36" i="21"/>
  <c r="C37" i="21"/>
  <c r="J38" i="21"/>
  <c r="E97" i="21"/>
  <c r="I97" i="21"/>
  <c r="G97" i="21"/>
  <c r="H97" i="21"/>
  <c r="F97" i="21"/>
  <c r="J97" i="21"/>
  <c r="D39" i="21"/>
  <c r="D35" i="21"/>
  <c r="D38" i="21"/>
  <c r="D34" i="21"/>
  <c r="D33" i="21"/>
  <c r="D40" i="21"/>
  <c r="D37" i="21"/>
  <c r="D36" i="21"/>
  <c r="C40" i="21"/>
  <c r="C39" i="21"/>
  <c r="C35" i="21"/>
  <c r="C34" i="21"/>
  <c r="C33" i="21"/>
  <c r="C38" i="21"/>
  <c r="E38" i="21"/>
  <c r="E34" i="21"/>
  <c r="E37" i="21"/>
  <c r="E33" i="21"/>
  <c r="I38" i="21"/>
  <c r="I34" i="21"/>
  <c r="I37" i="21"/>
  <c r="I33" i="21"/>
  <c r="G40" i="21"/>
  <c r="G36" i="21"/>
  <c r="G39" i="21"/>
  <c r="G35" i="21"/>
  <c r="G33" i="21"/>
  <c r="E35" i="21"/>
  <c r="I39" i="21"/>
  <c r="F37" i="21"/>
  <c r="F33" i="21"/>
  <c r="F40" i="21"/>
  <c r="F36" i="21"/>
  <c r="H39" i="21"/>
  <c r="H35" i="21"/>
  <c r="H38" i="21"/>
  <c r="H34" i="21"/>
  <c r="H33" i="21"/>
  <c r="F35" i="21"/>
  <c r="G37" i="21"/>
  <c r="J37" i="21"/>
  <c r="J33" i="21"/>
  <c r="J40" i="21"/>
  <c r="J36" i="21"/>
  <c r="G34" i="21"/>
  <c r="E36" i="21"/>
  <c r="I40" i="21"/>
  <c r="J34" i="21"/>
  <c r="I35" i="21"/>
  <c r="H36" i="21"/>
  <c r="F38" i="21"/>
  <c r="E39" i="21"/>
  <c r="J35" i="21"/>
  <c r="I36" i="21"/>
  <c r="H37" i="21"/>
  <c r="G38" i="21"/>
  <c r="F39" i="21"/>
  <c r="E40" i="21"/>
  <c r="F109" i="6"/>
  <c r="G109" i="6"/>
  <c r="H109" i="6"/>
  <c r="I109" i="6"/>
  <c r="J109" i="6"/>
  <c r="F108" i="6"/>
  <c r="G108" i="6"/>
  <c r="H108" i="6"/>
  <c r="I108" i="6"/>
  <c r="J108" i="6"/>
  <c r="I102" i="21" l="1"/>
  <c r="I107" i="21" s="1"/>
  <c r="I108" i="21" s="1"/>
  <c r="H102" i="21"/>
  <c r="H107" i="21" s="1"/>
  <c r="H108" i="21" s="1"/>
  <c r="J102" i="21"/>
  <c r="J107" i="21" s="1"/>
  <c r="J108" i="21" s="1"/>
  <c r="G102" i="21"/>
  <c r="G107" i="21" s="1"/>
  <c r="G108" i="21" s="1"/>
  <c r="V40" i="21"/>
  <c r="I41" i="21"/>
  <c r="I42" i="21" s="1"/>
  <c r="E41" i="21"/>
  <c r="E42" i="21" s="1"/>
  <c r="V34" i="21"/>
  <c r="I101" i="21"/>
  <c r="F41" i="21"/>
  <c r="F42" i="21" s="1"/>
  <c r="V38" i="21"/>
  <c r="V39" i="21"/>
  <c r="D41" i="21"/>
  <c r="D42" i="21" s="1"/>
  <c r="J41" i="21"/>
  <c r="J42" i="21" s="1"/>
  <c r="V37" i="21"/>
  <c r="V35" i="21"/>
  <c r="F98" i="21" s="1"/>
  <c r="J101" i="21"/>
  <c r="E101" i="21"/>
  <c r="E102" i="21" s="1"/>
  <c r="E107" i="21" s="1"/>
  <c r="E108" i="21" s="1"/>
  <c r="H41" i="21"/>
  <c r="H42" i="21" s="1"/>
  <c r="G41" i="21"/>
  <c r="G42" i="21" s="1"/>
  <c r="C41" i="21"/>
  <c r="C42" i="21" s="1"/>
  <c r="V33" i="21"/>
  <c r="V36" i="21"/>
  <c r="J30" i="21" l="1"/>
  <c r="J50" i="21" s="1"/>
  <c r="I30" i="21"/>
  <c r="I60" i="21" s="1"/>
  <c r="H30" i="21"/>
  <c r="H50" i="21" s="1"/>
  <c r="G30" i="21"/>
  <c r="F30" i="21"/>
  <c r="F60" i="21" s="1"/>
  <c r="I103" i="21"/>
  <c r="I104" i="21" s="1"/>
  <c r="E30" i="21"/>
  <c r="E60" i="21" s="1"/>
  <c r="H103" i="21"/>
  <c r="H104" i="21" s="1"/>
  <c r="G103" i="21"/>
  <c r="G111" i="21" s="1"/>
  <c r="G112" i="21" s="1"/>
  <c r="J103" i="21"/>
  <c r="J111" i="21" s="1"/>
  <c r="J112" i="21" s="1"/>
  <c r="C30" i="21"/>
  <c r="C50" i="21" s="1"/>
  <c r="E103" i="21"/>
  <c r="E105" i="21" s="1"/>
  <c r="D30" i="21"/>
  <c r="D50" i="21" s="1"/>
  <c r="G60" i="21" l="1"/>
  <c r="G61" i="21" s="1"/>
  <c r="F94" i="21"/>
  <c r="F100" i="21" s="1"/>
  <c r="E61" i="21"/>
  <c r="E62" i="21" s="1"/>
  <c r="E63" i="21" s="1"/>
  <c r="F61" i="21"/>
  <c r="F62" i="21" s="1"/>
  <c r="F63" i="21" s="1"/>
  <c r="I61" i="21"/>
  <c r="I62" i="21" s="1"/>
  <c r="I63" i="21" s="1"/>
  <c r="J60" i="21"/>
  <c r="H60" i="21"/>
  <c r="D60" i="21"/>
  <c r="C60" i="21"/>
  <c r="J51" i="21"/>
  <c r="J52" i="21" s="1"/>
  <c r="J57" i="21" s="1"/>
  <c r="J58" i="21" s="1"/>
  <c r="I50" i="21"/>
  <c r="I51" i="21" s="1"/>
  <c r="I52" i="21" s="1"/>
  <c r="I57" i="21" s="1"/>
  <c r="I58" i="21" s="1"/>
  <c r="H51" i="21"/>
  <c r="H52" i="21" s="1"/>
  <c r="H57" i="21" s="1"/>
  <c r="H58" i="21" s="1"/>
  <c r="G50" i="21"/>
  <c r="G51" i="21" s="1"/>
  <c r="G52" i="21" s="1"/>
  <c r="G57" i="21" s="1"/>
  <c r="G58" i="21" s="1"/>
  <c r="F50" i="21"/>
  <c r="F51" i="21" s="1"/>
  <c r="F52" i="21" s="1"/>
  <c r="F57" i="21" s="1"/>
  <c r="F58" i="21" s="1"/>
  <c r="E50" i="21"/>
  <c r="E51" i="21" s="1"/>
  <c r="E52" i="21" s="1"/>
  <c r="E57" i="21" s="1"/>
  <c r="E58" i="21" s="1"/>
  <c r="I111" i="21"/>
  <c r="I112" i="21" s="1"/>
  <c r="I105" i="21"/>
  <c r="I106" i="21" s="1"/>
  <c r="G104" i="21"/>
  <c r="H111" i="21"/>
  <c r="H112" i="21" s="1"/>
  <c r="J104" i="21"/>
  <c r="H105" i="21"/>
  <c r="H106" i="21" s="1"/>
  <c r="G105" i="21"/>
  <c r="J105" i="21"/>
  <c r="C51" i="21"/>
  <c r="C52" i="21" s="1"/>
  <c r="C57" i="21" s="1"/>
  <c r="C58" i="21" s="1"/>
  <c r="E104" i="21"/>
  <c r="E106" i="21" s="1"/>
  <c r="E111" i="21"/>
  <c r="E112" i="21" s="1"/>
  <c r="D51" i="21"/>
  <c r="D52" i="21" s="1"/>
  <c r="D57" i="21" s="1"/>
  <c r="D58" i="21" s="1"/>
  <c r="G62" i="21" l="1"/>
  <c r="G63" i="21" s="1"/>
  <c r="F109" i="21" s="1"/>
  <c r="F110" i="21"/>
  <c r="F101" i="21"/>
  <c r="F102" i="21"/>
  <c r="F107" i="21" s="1"/>
  <c r="F108" i="21" s="1"/>
  <c r="C61" i="21"/>
  <c r="C62" i="21" s="1"/>
  <c r="C63" i="21" s="1"/>
  <c r="D61" i="21"/>
  <c r="D62" i="21" s="1"/>
  <c r="D63" i="21" s="1"/>
  <c r="H61" i="21"/>
  <c r="H62" i="21" s="1"/>
  <c r="H63" i="21" s="1"/>
  <c r="J61" i="21"/>
  <c r="J62" i="21" s="1"/>
  <c r="J63" i="21" s="1"/>
  <c r="I66" i="21"/>
  <c r="I68" i="21" s="1"/>
  <c r="F66" i="21"/>
  <c r="F68" i="21" s="1"/>
  <c r="G106" i="21"/>
  <c r="J53" i="21"/>
  <c r="I64" i="21"/>
  <c r="I53" i="21"/>
  <c r="I54" i="21" s="1"/>
  <c r="H53" i="21"/>
  <c r="G53" i="21"/>
  <c r="G55" i="21" s="1"/>
  <c r="F53" i="21"/>
  <c r="F55" i="21" s="1"/>
  <c r="F64" i="21"/>
  <c r="E53" i="21"/>
  <c r="E54" i="21" s="1"/>
  <c r="J106" i="21"/>
  <c r="D53" i="21"/>
  <c r="D55" i="21" s="1"/>
  <c r="C53" i="21"/>
  <c r="C52" i="19"/>
  <c r="C24" i="6"/>
  <c r="G64" i="21" l="1"/>
  <c r="G66" i="21"/>
  <c r="G68" i="21" s="1"/>
  <c r="F103" i="21"/>
  <c r="D66" i="21"/>
  <c r="D68" i="21" s="1"/>
  <c r="J66" i="21"/>
  <c r="J68" i="21" s="1"/>
  <c r="G65" i="21"/>
  <c r="G67" i="21" s="1"/>
  <c r="H66" i="21"/>
  <c r="H68" i="21" s="1"/>
  <c r="F65" i="21"/>
  <c r="F67" i="21" s="1"/>
  <c r="E66" i="21"/>
  <c r="E68" i="21" s="1"/>
  <c r="I65" i="21"/>
  <c r="I67" i="21" s="1"/>
  <c r="J54" i="21"/>
  <c r="J55" i="21"/>
  <c r="J64" i="21"/>
  <c r="I55" i="21"/>
  <c r="I56" i="21" s="1"/>
  <c r="H55" i="21"/>
  <c r="H54" i="21"/>
  <c r="G54" i="21"/>
  <c r="G56" i="21" s="1"/>
  <c r="F54" i="21"/>
  <c r="F56" i="21" s="1"/>
  <c r="E55" i="21"/>
  <c r="E56" i="21" s="1"/>
  <c r="D54" i="21"/>
  <c r="D56" i="21" s="1"/>
  <c r="C54" i="21"/>
  <c r="C55" i="21"/>
  <c r="D64" i="21"/>
  <c r="F111" i="21" l="1"/>
  <c r="F112" i="21" s="1"/>
  <c r="F105" i="21"/>
  <c r="F104" i="21"/>
  <c r="C66" i="21"/>
  <c r="C68" i="21" s="1"/>
  <c r="J71" i="21"/>
  <c r="E64" i="21"/>
  <c r="C71" i="21"/>
  <c r="F71" i="21" s="1"/>
  <c r="J65" i="21"/>
  <c r="J67" i="21" s="1"/>
  <c r="D65" i="21"/>
  <c r="D67" i="21" s="1"/>
  <c r="J56" i="21"/>
  <c r="H56" i="21"/>
  <c r="C56" i="21"/>
  <c r="I143" i="20"/>
  <c r="H143" i="20"/>
  <c r="G143" i="20"/>
  <c r="F143" i="20"/>
  <c r="E143" i="20"/>
  <c r="D143" i="20"/>
  <c r="I142" i="20"/>
  <c r="H142" i="20"/>
  <c r="G142" i="20"/>
  <c r="F142" i="20"/>
  <c r="E142" i="20"/>
  <c r="D142" i="20"/>
  <c r="I141" i="20"/>
  <c r="H141" i="20"/>
  <c r="G141" i="20"/>
  <c r="F141" i="20"/>
  <c r="E141" i="20"/>
  <c r="D141" i="20"/>
  <c r="I140" i="20"/>
  <c r="H140" i="20"/>
  <c r="G140" i="20"/>
  <c r="F140" i="20"/>
  <c r="E140" i="20"/>
  <c r="D140" i="20"/>
  <c r="I139" i="20"/>
  <c r="H139" i="20"/>
  <c r="G139" i="20"/>
  <c r="F139" i="20"/>
  <c r="F146" i="20" s="1"/>
  <c r="E139" i="20"/>
  <c r="D139" i="20"/>
  <c r="I136" i="20"/>
  <c r="H136" i="20"/>
  <c r="G136" i="20"/>
  <c r="F136" i="20"/>
  <c r="E136" i="20"/>
  <c r="D136" i="20"/>
  <c r="I135" i="20"/>
  <c r="H135" i="20"/>
  <c r="G135" i="20"/>
  <c r="G137" i="20" s="1"/>
  <c r="F135" i="20"/>
  <c r="E135" i="20"/>
  <c r="D135" i="20"/>
  <c r="I134" i="20"/>
  <c r="I147" i="20" s="1"/>
  <c r="H134" i="20"/>
  <c r="H147" i="20" s="1"/>
  <c r="H149" i="20" s="1"/>
  <c r="G134" i="20"/>
  <c r="G147" i="20" s="1"/>
  <c r="F134" i="20"/>
  <c r="F147" i="20" s="1"/>
  <c r="E134" i="20"/>
  <c r="E147" i="20" s="1"/>
  <c r="E149" i="20" s="1"/>
  <c r="D134" i="20"/>
  <c r="D147" i="20" s="1"/>
  <c r="D149" i="20" s="1"/>
  <c r="I105" i="20"/>
  <c r="H105" i="20"/>
  <c r="G105" i="20"/>
  <c r="F105" i="20"/>
  <c r="E105" i="20"/>
  <c r="D105" i="20"/>
  <c r="C105" i="20"/>
  <c r="B105" i="20"/>
  <c r="H100" i="20"/>
  <c r="F100" i="20"/>
  <c r="D100" i="20"/>
  <c r="B100" i="20"/>
  <c r="H99" i="20"/>
  <c r="F99" i="20"/>
  <c r="D99" i="20"/>
  <c r="B99" i="20"/>
  <c r="I91" i="20"/>
  <c r="H91" i="20"/>
  <c r="G91" i="20"/>
  <c r="F91" i="20"/>
  <c r="E91" i="20"/>
  <c r="D91" i="20"/>
  <c r="C91" i="20"/>
  <c r="B91" i="20"/>
  <c r="I90" i="20"/>
  <c r="H90" i="20"/>
  <c r="G90" i="20"/>
  <c r="F90" i="20"/>
  <c r="E90" i="20"/>
  <c r="D90" i="20"/>
  <c r="C90" i="20"/>
  <c r="B90" i="20"/>
  <c r="H86" i="20"/>
  <c r="F86" i="20"/>
  <c r="D86" i="20"/>
  <c r="B86" i="20"/>
  <c r="H85" i="20"/>
  <c r="F85" i="20"/>
  <c r="D85" i="20"/>
  <c r="B85" i="20"/>
  <c r="I77" i="20"/>
  <c r="H77" i="20"/>
  <c r="G77" i="20"/>
  <c r="F77" i="20"/>
  <c r="E77" i="20"/>
  <c r="D77" i="20"/>
  <c r="C77" i="20"/>
  <c r="B77" i="20"/>
  <c r="I76" i="20"/>
  <c r="H76" i="20"/>
  <c r="G76" i="20"/>
  <c r="F76" i="20"/>
  <c r="E76" i="20"/>
  <c r="D76" i="20"/>
  <c r="C76" i="20"/>
  <c r="B76" i="20"/>
  <c r="I52" i="20"/>
  <c r="H52" i="20"/>
  <c r="G52" i="20"/>
  <c r="F52" i="20"/>
  <c r="E52" i="20"/>
  <c r="D52" i="20"/>
  <c r="C52" i="20"/>
  <c r="B52" i="20"/>
  <c r="I48" i="20"/>
  <c r="H48" i="20"/>
  <c r="G48" i="20"/>
  <c r="F48" i="20"/>
  <c r="E48" i="20"/>
  <c r="D48" i="20"/>
  <c r="C48" i="20"/>
  <c r="B48" i="20"/>
  <c r="I33" i="20"/>
  <c r="H33" i="20"/>
  <c r="G33" i="20"/>
  <c r="F33" i="20"/>
  <c r="H45" i="20" s="1"/>
  <c r="E33" i="20"/>
  <c r="D33" i="20"/>
  <c r="C33" i="20"/>
  <c r="B33" i="20"/>
  <c r="AF29" i="20"/>
  <c r="AE29" i="20"/>
  <c r="AD29" i="20"/>
  <c r="AC29" i="20"/>
  <c r="AB29" i="20"/>
  <c r="AA29" i="20"/>
  <c r="Z29" i="20"/>
  <c r="Y29" i="20"/>
  <c r="S22" i="20"/>
  <c r="I22" i="20"/>
  <c r="H22" i="20"/>
  <c r="G22" i="20"/>
  <c r="F22" i="20"/>
  <c r="E22" i="20"/>
  <c r="D22" i="20"/>
  <c r="C45" i="20" s="1"/>
  <c r="C22" i="20"/>
  <c r="B22" i="20"/>
  <c r="S21" i="20"/>
  <c r="Q22" i="20" s="1"/>
  <c r="L11" i="20"/>
  <c r="L10" i="20"/>
  <c r="L9" i="20"/>
  <c r="L8" i="20"/>
  <c r="B8" i="20"/>
  <c r="L7" i="20"/>
  <c r="B7" i="20"/>
  <c r="L6" i="20"/>
  <c r="B6" i="20"/>
  <c r="L5" i="20"/>
  <c r="B5" i="20"/>
  <c r="L4" i="20"/>
  <c r="B4" i="20"/>
  <c r="B3" i="20"/>
  <c r="B2" i="20"/>
  <c r="F106" i="21" l="1"/>
  <c r="E65" i="21"/>
  <c r="E67" i="21" s="1"/>
  <c r="C64" i="21"/>
  <c r="C65" i="21"/>
  <c r="C67" i="21" s="1"/>
  <c r="H64" i="21"/>
  <c r="H65" i="21"/>
  <c r="H67" i="21" s="1"/>
  <c r="G146" i="20"/>
  <c r="I45" i="20"/>
  <c r="I149" i="20"/>
  <c r="F45" i="20"/>
  <c r="F137" i="20"/>
  <c r="G45" i="20"/>
  <c r="E45" i="20"/>
  <c r="F149" i="20"/>
  <c r="F150" i="20" s="1"/>
  <c r="D137" i="20"/>
  <c r="H137" i="20"/>
  <c r="D146" i="20"/>
  <c r="H146" i="20"/>
  <c r="B45" i="20"/>
  <c r="D45" i="20"/>
  <c r="G149" i="20"/>
  <c r="G151" i="20" s="1"/>
  <c r="G155" i="20" s="1"/>
  <c r="G156" i="20" s="1"/>
  <c r="E137" i="20"/>
  <c r="I137" i="20"/>
  <c r="E146" i="20"/>
  <c r="I146" i="20"/>
  <c r="N22" i="20"/>
  <c r="P22" i="20"/>
  <c r="R22" i="20"/>
  <c r="C44" i="20"/>
  <c r="E44" i="20"/>
  <c r="G44" i="20"/>
  <c r="I44" i="20"/>
  <c r="M22" i="20"/>
  <c r="O22" i="20"/>
  <c r="B44" i="20"/>
  <c r="D44" i="20"/>
  <c r="F44" i="20"/>
  <c r="H44" i="20"/>
  <c r="B78" i="20"/>
  <c r="D78" i="20"/>
  <c r="F78" i="20"/>
  <c r="H78" i="20"/>
  <c r="B92" i="20"/>
  <c r="D92" i="20"/>
  <c r="F92" i="20"/>
  <c r="H92" i="20"/>
  <c r="D150" i="20"/>
  <c r="D151" i="20" s="1"/>
  <c r="D155" i="20" s="1"/>
  <c r="D156" i="20" s="1"/>
  <c r="H150" i="20"/>
  <c r="H151" i="20"/>
  <c r="H155" i="20" s="1"/>
  <c r="H156" i="20" s="1"/>
  <c r="C78" i="20"/>
  <c r="C79" i="20" s="1"/>
  <c r="E78" i="20"/>
  <c r="E79" i="20" s="1"/>
  <c r="G78" i="20"/>
  <c r="G79" i="20" s="1"/>
  <c r="I78" i="20"/>
  <c r="I79" i="20" s="1"/>
  <c r="C92" i="20"/>
  <c r="C93" i="20" s="1"/>
  <c r="C94" i="20" s="1"/>
  <c r="E92" i="20"/>
  <c r="E93" i="20" s="1"/>
  <c r="E94" i="20" s="1"/>
  <c r="G92" i="20"/>
  <c r="G93" i="20" s="1"/>
  <c r="G94" i="20" s="1"/>
  <c r="I92" i="20"/>
  <c r="I93" i="20" s="1"/>
  <c r="I94" i="20" s="1"/>
  <c r="E150" i="20"/>
  <c r="I150" i="20"/>
  <c r="E151" i="20"/>
  <c r="E155" i="20" s="1"/>
  <c r="E156" i="20" s="1"/>
  <c r="I151" i="20"/>
  <c r="I155" i="20" s="1"/>
  <c r="I156" i="20" s="1"/>
  <c r="B2" i="19"/>
  <c r="G150" i="20" l="1"/>
  <c r="F151" i="20"/>
  <c r="F155" i="20" s="1"/>
  <c r="F156" i="20" s="1"/>
  <c r="G96" i="20"/>
  <c r="G95" i="20"/>
  <c r="I96" i="20"/>
  <c r="I95" i="20"/>
  <c r="E96" i="20"/>
  <c r="E95" i="20"/>
  <c r="C96" i="20"/>
  <c r="C95" i="20"/>
  <c r="I152" i="20"/>
  <c r="G152" i="20"/>
  <c r="E152" i="20"/>
  <c r="G97" i="20"/>
  <c r="G98" i="20" s="1"/>
  <c r="G83" i="20"/>
  <c r="C97" i="20"/>
  <c r="C98" i="20" s="1"/>
  <c r="C83" i="20"/>
  <c r="H152" i="20"/>
  <c r="D152" i="20"/>
  <c r="F101" i="20"/>
  <c r="F102" i="20" s="1"/>
  <c r="F93" i="20"/>
  <c r="F94" i="20" s="1"/>
  <c r="B101" i="20"/>
  <c r="B102" i="20" s="1"/>
  <c r="B93" i="20"/>
  <c r="B94" i="20" s="1"/>
  <c r="F87" i="20"/>
  <c r="F88" i="20" s="1"/>
  <c r="F79" i="20"/>
  <c r="B87" i="20"/>
  <c r="B88" i="20" s="1"/>
  <c r="B79" i="20"/>
  <c r="G80" i="20"/>
  <c r="C80" i="20"/>
  <c r="F57" i="20"/>
  <c r="F43" i="20"/>
  <c r="F42" i="20"/>
  <c r="F41" i="20"/>
  <c r="F40" i="20"/>
  <c r="F39" i="20"/>
  <c r="F38" i="20"/>
  <c r="F37" i="20"/>
  <c r="F36" i="20"/>
  <c r="AC21" i="20" s="1"/>
  <c r="B57" i="20"/>
  <c r="B43" i="20"/>
  <c r="B42" i="20"/>
  <c r="Y27" i="20" s="1"/>
  <c r="B41" i="20"/>
  <c r="B40" i="20"/>
  <c r="B39" i="20"/>
  <c r="B38" i="20"/>
  <c r="B37" i="20"/>
  <c r="B36" i="20"/>
  <c r="Y21" i="20" s="1"/>
  <c r="O25" i="20"/>
  <c r="S23" i="20"/>
  <c r="G57" i="20"/>
  <c r="G43" i="20"/>
  <c r="G42" i="20"/>
  <c r="G41" i="20"/>
  <c r="G40" i="20"/>
  <c r="AD25" i="20" s="1"/>
  <c r="G39" i="20"/>
  <c r="G38" i="20"/>
  <c r="AD23" i="20" s="1"/>
  <c r="G37" i="20"/>
  <c r="G36" i="20"/>
  <c r="AD21" i="20" s="1"/>
  <c r="C57" i="20"/>
  <c r="C43" i="20"/>
  <c r="Z28" i="20" s="1"/>
  <c r="C42" i="20"/>
  <c r="Z27" i="20" s="1"/>
  <c r="C41" i="20"/>
  <c r="Z26" i="20" s="1"/>
  <c r="C40" i="20"/>
  <c r="Z25" i="20" s="1"/>
  <c r="C39" i="20"/>
  <c r="Z24" i="20" s="1"/>
  <c r="C38" i="20"/>
  <c r="Z23" i="20" s="1"/>
  <c r="C37" i="20"/>
  <c r="Z22" i="20" s="1"/>
  <c r="C36" i="20"/>
  <c r="Z21" i="20" s="1"/>
  <c r="I97" i="20"/>
  <c r="I98" i="20" s="1"/>
  <c r="I83" i="20"/>
  <c r="E97" i="20"/>
  <c r="E98" i="20" s="1"/>
  <c r="E83" i="20"/>
  <c r="H101" i="20"/>
  <c r="H102" i="20" s="1"/>
  <c r="H93" i="20"/>
  <c r="H94" i="20" s="1"/>
  <c r="D101" i="20"/>
  <c r="D102" i="20" s="1"/>
  <c r="D93" i="20"/>
  <c r="D94" i="20" s="1"/>
  <c r="H87" i="20"/>
  <c r="H88" i="20" s="1"/>
  <c r="H79" i="20"/>
  <c r="D87" i="20"/>
  <c r="D88" i="20" s="1"/>
  <c r="D79" i="20"/>
  <c r="I80" i="20"/>
  <c r="E80" i="20"/>
  <c r="H57" i="20"/>
  <c r="H43" i="20"/>
  <c r="H42" i="20"/>
  <c r="H41" i="20"/>
  <c r="H40" i="20"/>
  <c r="AE25" i="20" s="1"/>
  <c r="H39" i="20"/>
  <c r="H38" i="20"/>
  <c r="AE23" i="20" s="1"/>
  <c r="H37" i="20"/>
  <c r="H36" i="20"/>
  <c r="AE21" i="20" s="1"/>
  <c r="D57" i="20"/>
  <c r="D43" i="20"/>
  <c r="AA28" i="20" s="1"/>
  <c r="D42" i="20"/>
  <c r="AA27" i="20" s="1"/>
  <c r="D41" i="20"/>
  <c r="AA26" i="20" s="1"/>
  <c r="D40" i="20"/>
  <c r="AA25" i="20" s="1"/>
  <c r="D39" i="20"/>
  <c r="AA24" i="20" s="1"/>
  <c r="D38" i="20"/>
  <c r="AA23" i="20" s="1"/>
  <c r="D37" i="20"/>
  <c r="AA22" i="20" s="1"/>
  <c r="D36" i="20"/>
  <c r="AA21" i="20" s="1"/>
  <c r="I57" i="20"/>
  <c r="I43" i="20"/>
  <c r="I42" i="20"/>
  <c r="I41" i="20"/>
  <c r="I40" i="20"/>
  <c r="AF25" i="20" s="1"/>
  <c r="I39" i="20"/>
  <c r="I38" i="20"/>
  <c r="I37" i="20"/>
  <c r="I36" i="20"/>
  <c r="AF21" i="20" s="1"/>
  <c r="E57" i="20"/>
  <c r="E43" i="20"/>
  <c r="E42" i="20"/>
  <c r="E41" i="20"/>
  <c r="E40" i="20"/>
  <c r="E39" i="20"/>
  <c r="E38" i="20"/>
  <c r="E37" i="20"/>
  <c r="E36" i="20"/>
  <c r="O26" i="20"/>
  <c r="E164" i="19"/>
  <c r="Y22" i="20" l="1"/>
  <c r="AB21" i="20"/>
  <c r="Y23" i="20"/>
  <c r="AE27" i="20"/>
  <c r="AD27" i="20"/>
  <c r="Y24" i="20"/>
  <c r="AC23" i="20"/>
  <c r="Y25" i="20"/>
  <c r="Y26" i="20"/>
  <c r="AC25" i="20"/>
  <c r="F152" i="20"/>
  <c r="Y28" i="20"/>
  <c r="AC27" i="20"/>
  <c r="AB25" i="20"/>
  <c r="AB23" i="20"/>
  <c r="AG23" i="20" s="1"/>
  <c r="AB27" i="20"/>
  <c r="AB22" i="20"/>
  <c r="AB26" i="20"/>
  <c r="P26" i="20"/>
  <c r="AB24" i="20"/>
  <c r="AB28" i="20"/>
  <c r="AF23" i="20"/>
  <c r="AF27" i="20"/>
  <c r="I71" i="20"/>
  <c r="I70" i="20"/>
  <c r="I68" i="20"/>
  <c r="I67" i="20"/>
  <c r="I66" i="20"/>
  <c r="I65" i="20"/>
  <c r="I64" i="20"/>
  <c r="I63" i="20"/>
  <c r="I62" i="20"/>
  <c r="I61" i="20"/>
  <c r="AF30" i="20"/>
  <c r="I106" i="20"/>
  <c r="I107" i="20" s="1"/>
  <c r="E71" i="20"/>
  <c r="E70" i="20"/>
  <c r="E68" i="20"/>
  <c r="E67" i="20"/>
  <c r="E66" i="20"/>
  <c r="E65" i="20"/>
  <c r="E64" i="20"/>
  <c r="E63" i="20"/>
  <c r="E62" i="20"/>
  <c r="E61" i="20"/>
  <c r="AB30" i="20"/>
  <c r="E106" i="20"/>
  <c r="E107" i="20" s="1"/>
  <c r="AF22" i="20"/>
  <c r="AF24" i="20"/>
  <c r="AF26" i="20"/>
  <c r="AF28" i="20"/>
  <c r="D71" i="20"/>
  <c r="D70" i="20"/>
  <c r="D68" i="20"/>
  <c r="D67" i="20"/>
  <c r="D66" i="20"/>
  <c r="D65" i="20"/>
  <c r="D64" i="20"/>
  <c r="D63" i="20"/>
  <c r="D62" i="20"/>
  <c r="D61" i="20"/>
  <c r="AA30" i="20"/>
  <c r="D106" i="20"/>
  <c r="D107" i="20" s="1"/>
  <c r="AE22" i="20"/>
  <c r="AE24" i="20"/>
  <c r="AE26" i="20"/>
  <c r="AE28" i="20"/>
  <c r="E82" i="20"/>
  <c r="E81" i="20"/>
  <c r="D97" i="20"/>
  <c r="D98" i="20" s="1"/>
  <c r="D83" i="20"/>
  <c r="D84" i="20" s="1"/>
  <c r="D80" i="20"/>
  <c r="H97" i="20"/>
  <c r="H98" i="20" s="1"/>
  <c r="H83" i="20"/>
  <c r="H84" i="20" s="1"/>
  <c r="H80" i="20"/>
  <c r="D96" i="20"/>
  <c r="D95" i="20"/>
  <c r="H96" i="20"/>
  <c r="H95" i="20"/>
  <c r="E84" i="20"/>
  <c r="I84" i="20"/>
  <c r="C71" i="20"/>
  <c r="C70" i="20"/>
  <c r="C68" i="20"/>
  <c r="C67" i="20"/>
  <c r="C66" i="20"/>
  <c r="C65" i="20"/>
  <c r="C64" i="20"/>
  <c r="C63" i="20"/>
  <c r="C62" i="20"/>
  <c r="C61" i="20"/>
  <c r="Z30" i="20"/>
  <c r="C106" i="20"/>
  <c r="C107" i="20" s="1"/>
  <c r="AD22" i="20"/>
  <c r="AD24" i="20"/>
  <c r="AD26" i="20"/>
  <c r="AD28" i="20"/>
  <c r="AG21" i="20"/>
  <c r="B71" i="20"/>
  <c r="B70" i="20"/>
  <c r="B68" i="20"/>
  <c r="B67" i="20"/>
  <c r="B66" i="20"/>
  <c r="B65" i="20"/>
  <c r="B64" i="20"/>
  <c r="B63" i="20"/>
  <c r="B62" i="20"/>
  <c r="B61" i="20"/>
  <c r="Y30" i="20"/>
  <c r="B106" i="20"/>
  <c r="B107" i="20" s="1"/>
  <c r="AC22" i="20"/>
  <c r="AG22" i="20" s="1"/>
  <c r="AC24" i="20"/>
  <c r="AC26" i="20"/>
  <c r="AC28" i="20"/>
  <c r="C82" i="20"/>
  <c r="C81" i="20"/>
  <c r="B97" i="20"/>
  <c r="B98" i="20" s="1"/>
  <c r="B83" i="20"/>
  <c r="B84" i="20" s="1"/>
  <c r="B80" i="20"/>
  <c r="F97" i="20"/>
  <c r="F98" i="20" s="1"/>
  <c r="F83" i="20"/>
  <c r="F84" i="20" s="1"/>
  <c r="F80" i="20"/>
  <c r="B96" i="20"/>
  <c r="B95" i="20"/>
  <c r="F96" i="20"/>
  <c r="F95" i="20"/>
  <c r="D154" i="20"/>
  <c r="D153" i="20"/>
  <c r="H154" i="20"/>
  <c r="H153" i="20"/>
  <c r="G154" i="20"/>
  <c r="G153" i="20"/>
  <c r="H71" i="20"/>
  <c r="H70" i="20"/>
  <c r="H68" i="20"/>
  <c r="H67" i="20"/>
  <c r="H66" i="20"/>
  <c r="H65" i="20"/>
  <c r="H64" i="20"/>
  <c r="H63" i="20"/>
  <c r="H62" i="20"/>
  <c r="H61" i="20"/>
  <c r="AE30" i="20"/>
  <c r="H106" i="20"/>
  <c r="H107" i="20" s="1"/>
  <c r="I82" i="20"/>
  <c r="I81" i="20"/>
  <c r="G71" i="20"/>
  <c r="G70" i="20"/>
  <c r="G68" i="20"/>
  <c r="G67" i="20"/>
  <c r="G66" i="20"/>
  <c r="G65" i="20"/>
  <c r="G64" i="20"/>
  <c r="G63" i="20"/>
  <c r="G62" i="20"/>
  <c r="G61" i="20"/>
  <c r="AD30" i="20"/>
  <c r="G106" i="20"/>
  <c r="G107" i="20" s="1"/>
  <c r="P25" i="20"/>
  <c r="AG26" i="20"/>
  <c r="F71" i="20"/>
  <c r="F70" i="20"/>
  <c r="F68" i="20"/>
  <c r="F67" i="20"/>
  <c r="F66" i="20"/>
  <c r="F65" i="20"/>
  <c r="F64" i="20"/>
  <c r="F63" i="20"/>
  <c r="F62" i="20"/>
  <c r="F61" i="20"/>
  <c r="AC30" i="20"/>
  <c r="F106" i="20"/>
  <c r="F107" i="20" s="1"/>
  <c r="G82" i="20"/>
  <c r="G81" i="20"/>
  <c r="F154" i="20"/>
  <c r="F153" i="20"/>
  <c r="C84" i="20"/>
  <c r="G84" i="20"/>
  <c r="E154" i="20"/>
  <c r="E153" i="20"/>
  <c r="I154" i="20"/>
  <c r="I153" i="20"/>
  <c r="J126" i="19"/>
  <c r="I126" i="19"/>
  <c r="H126" i="19"/>
  <c r="G126" i="19"/>
  <c r="F126" i="19"/>
  <c r="E126" i="19"/>
  <c r="D126" i="19"/>
  <c r="C126" i="19"/>
  <c r="J92" i="19"/>
  <c r="I92" i="19"/>
  <c r="H92" i="19"/>
  <c r="G92" i="19"/>
  <c r="F92" i="19"/>
  <c r="E92" i="19"/>
  <c r="D92" i="19"/>
  <c r="C92" i="19"/>
  <c r="J108" i="19"/>
  <c r="I108" i="19"/>
  <c r="H108" i="19"/>
  <c r="G108" i="19"/>
  <c r="F108" i="19"/>
  <c r="E108" i="19"/>
  <c r="D108" i="19"/>
  <c r="C108" i="19"/>
  <c r="J76" i="19"/>
  <c r="I76" i="19"/>
  <c r="H76" i="19"/>
  <c r="I138" i="19"/>
  <c r="G138" i="19"/>
  <c r="E138" i="19"/>
  <c r="I137" i="19"/>
  <c r="G137" i="19"/>
  <c r="E137" i="19"/>
  <c r="I120" i="19"/>
  <c r="G120" i="19"/>
  <c r="E120" i="19"/>
  <c r="I119" i="19"/>
  <c r="G119" i="19"/>
  <c r="E119" i="19"/>
  <c r="G76" i="19"/>
  <c r="F76" i="19"/>
  <c r="E76" i="19"/>
  <c r="D76" i="19"/>
  <c r="C76" i="19"/>
  <c r="AG27" i="20" l="1"/>
  <c r="AG25" i="20"/>
  <c r="AG24" i="20"/>
  <c r="AG28" i="20"/>
  <c r="G110" i="20"/>
  <c r="G111" i="20" s="1"/>
  <c r="G108" i="20"/>
  <c r="G109" i="20" s="1"/>
  <c r="G72" i="20"/>
  <c r="G58" i="20" s="1"/>
  <c r="AD31" i="20" s="1"/>
  <c r="G69" i="20"/>
  <c r="H110" i="20"/>
  <c r="H111" i="20" s="1"/>
  <c r="H108" i="20"/>
  <c r="H109" i="20" s="1"/>
  <c r="H72" i="20"/>
  <c r="H58" i="20" s="1"/>
  <c r="AE31" i="20" s="1"/>
  <c r="H69" i="20"/>
  <c r="F82" i="20"/>
  <c r="F81" i="20"/>
  <c r="B110" i="20"/>
  <c r="B111" i="20" s="1"/>
  <c r="B108" i="20"/>
  <c r="B109" i="20" s="1"/>
  <c r="B72" i="20"/>
  <c r="B58" i="20" s="1"/>
  <c r="Y31" i="20" s="1"/>
  <c r="B69" i="20"/>
  <c r="AK52" i="20"/>
  <c r="AI21" i="20"/>
  <c r="AJ21" i="20" s="1"/>
  <c r="AK21" i="20" s="1"/>
  <c r="AJ52" i="20" s="1"/>
  <c r="AK54" i="20"/>
  <c r="AI23" i="20"/>
  <c r="AJ23" i="20" s="1"/>
  <c r="AK23" i="20" s="1"/>
  <c r="AJ54" i="20" s="1"/>
  <c r="AK56" i="20"/>
  <c r="AI25" i="20"/>
  <c r="AJ25" i="20" s="1"/>
  <c r="AK58" i="20"/>
  <c r="AI27" i="20"/>
  <c r="AJ27" i="20" s="1"/>
  <c r="AK27" i="20" s="1"/>
  <c r="AJ58" i="20" s="1"/>
  <c r="C110" i="20"/>
  <c r="C111" i="20" s="1"/>
  <c r="C108" i="20"/>
  <c r="C109" i="20" s="1"/>
  <c r="C72" i="20"/>
  <c r="C58" i="20" s="1"/>
  <c r="Z31" i="20" s="1"/>
  <c r="C69" i="20"/>
  <c r="H82" i="20"/>
  <c r="H81" i="20"/>
  <c r="D110" i="20"/>
  <c r="D111" i="20" s="1"/>
  <c r="D108" i="20"/>
  <c r="D109" i="20" s="1"/>
  <c r="D72" i="20"/>
  <c r="D58" i="20" s="1"/>
  <c r="AA31" i="20" s="1"/>
  <c r="D69" i="20"/>
  <c r="E110" i="20"/>
  <c r="E111" i="20" s="1"/>
  <c r="E108" i="20"/>
  <c r="E109" i="20" s="1"/>
  <c r="E72" i="20"/>
  <c r="E58" i="20" s="1"/>
  <c r="AB31" i="20" s="1"/>
  <c r="E69" i="20"/>
  <c r="I110" i="20"/>
  <c r="I111" i="20" s="1"/>
  <c r="I108" i="20"/>
  <c r="I109" i="20" s="1"/>
  <c r="I72" i="20"/>
  <c r="I58" i="20" s="1"/>
  <c r="AF31" i="20" s="1"/>
  <c r="I69" i="20"/>
  <c r="F110" i="20"/>
  <c r="F111" i="20" s="1"/>
  <c r="F108" i="20"/>
  <c r="F109" i="20" s="1"/>
  <c r="F72" i="20"/>
  <c r="F58" i="20" s="1"/>
  <c r="AC31" i="20" s="1"/>
  <c r="F69" i="20"/>
  <c r="B82" i="20"/>
  <c r="B81" i="20"/>
  <c r="AI22" i="20"/>
  <c r="AJ22" i="20" s="1"/>
  <c r="AK22" i="20" s="1"/>
  <c r="AJ53" i="20" s="1"/>
  <c r="AK53" i="20"/>
  <c r="AK55" i="20"/>
  <c r="AI24" i="20"/>
  <c r="AJ24" i="20" s="1"/>
  <c r="AK24" i="20" s="1"/>
  <c r="AJ55" i="20" s="1"/>
  <c r="AK57" i="20"/>
  <c r="AI26" i="20"/>
  <c r="AJ26" i="20" s="1"/>
  <c r="AK26" i="20" s="1"/>
  <c r="AJ57" i="20" s="1"/>
  <c r="AK59" i="20"/>
  <c r="AI28" i="20"/>
  <c r="AJ28" i="20" s="1"/>
  <c r="AK28" i="20" s="1"/>
  <c r="AJ59" i="20" s="1"/>
  <c r="D82" i="20"/>
  <c r="D81" i="20"/>
  <c r="W77" i="19"/>
  <c r="V77" i="19"/>
  <c r="W72" i="19"/>
  <c r="V72" i="19"/>
  <c r="W71" i="19"/>
  <c r="W74" i="19" s="1"/>
  <c r="V71" i="19"/>
  <c r="V74" i="19" s="1"/>
  <c r="AK25" i="20" l="1"/>
  <c r="AJ56" i="20" s="1"/>
  <c r="V76" i="19"/>
  <c r="V75" i="19"/>
  <c r="W76" i="19"/>
  <c r="W75" i="19"/>
  <c r="B7" i="6"/>
  <c r="T21" i="19" l="1"/>
  <c r="O22" i="19" s="1"/>
  <c r="T22" i="19"/>
  <c r="S22" i="19" l="1"/>
  <c r="R22" i="19"/>
  <c r="N22" i="19"/>
  <c r="D16" i="18"/>
  <c r="G97" i="6"/>
  <c r="H97" i="6"/>
  <c r="I97" i="6"/>
  <c r="F97" i="6"/>
  <c r="E91" i="6"/>
  <c r="I102" i="19"/>
  <c r="I101" i="19"/>
  <c r="G102" i="19"/>
  <c r="G101" i="19"/>
  <c r="E102" i="19"/>
  <c r="E101" i="19"/>
  <c r="C102" i="19"/>
  <c r="C101" i="19"/>
  <c r="I86" i="19"/>
  <c r="I85" i="19"/>
  <c r="G86" i="19"/>
  <c r="G85" i="19"/>
  <c r="J173" i="19"/>
  <c r="I173" i="19"/>
  <c r="G173" i="19"/>
  <c r="F173" i="19"/>
  <c r="E173" i="19"/>
  <c r="J172" i="19"/>
  <c r="I172" i="19"/>
  <c r="H172" i="19"/>
  <c r="G172" i="19"/>
  <c r="F172" i="19"/>
  <c r="J171" i="19"/>
  <c r="I171" i="19"/>
  <c r="H171" i="19"/>
  <c r="G171" i="19"/>
  <c r="J170" i="19"/>
  <c r="I170" i="19"/>
  <c r="H170" i="19"/>
  <c r="G170" i="19"/>
  <c r="J169" i="19"/>
  <c r="I169" i="19"/>
  <c r="H169" i="19"/>
  <c r="G169" i="19"/>
  <c r="J166" i="19"/>
  <c r="I166" i="19"/>
  <c r="H166" i="19"/>
  <c r="G166" i="19"/>
  <c r="F166" i="19"/>
  <c r="E166" i="19"/>
  <c r="J165" i="19"/>
  <c r="I165" i="19"/>
  <c r="G165" i="19"/>
  <c r="F165" i="19"/>
  <c r="E165" i="19"/>
  <c r="J164" i="19"/>
  <c r="J177" i="19" s="1"/>
  <c r="I164" i="19"/>
  <c r="I177" i="19" s="1"/>
  <c r="H164" i="19"/>
  <c r="H177" i="19" s="1"/>
  <c r="G164" i="19"/>
  <c r="G177" i="19" s="1"/>
  <c r="J52" i="19"/>
  <c r="I52" i="19"/>
  <c r="H52" i="19"/>
  <c r="G52" i="19"/>
  <c r="F52" i="19"/>
  <c r="E52" i="19"/>
  <c r="D52" i="19"/>
  <c r="J48" i="19"/>
  <c r="I48" i="19"/>
  <c r="H48" i="19"/>
  <c r="G48" i="19"/>
  <c r="F48" i="19"/>
  <c r="E48" i="19"/>
  <c r="D48" i="19"/>
  <c r="C48" i="19"/>
  <c r="J33" i="19"/>
  <c r="I33" i="19"/>
  <c r="H33" i="19"/>
  <c r="G33" i="19"/>
  <c r="F33" i="19"/>
  <c r="E33" i="19"/>
  <c r="D33" i="19"/>
  <c r="C33" i="19"/>
  <c r="AH29" i="19"/>
  <c r="AG29" i="19"/>
  <c r="AF29" i="19"/>
  <c r="AE29" i="19"/>
  <c r="AD29" i="19"/>
  <c r="AC29" i="19"/>
  <c r="AB29" i="19"/>
  <c r="AA29" i="19"/>
  <c r="E169" i="19" s="1"/>
  <c r="J22" i="19"/>
  <c r="I22" i="19"/>
  <c r="H22" i="19"/>
  <c r="G22" i="19"/>
  <c r="F22" i="19"/>
  <c r="E22" i="19"/>
  <c r="D22" i="19"/>
  <c r="C22" i="19"/>
  <c r="B8" i="19"/>
  <c r="B7" i="19"/>
  <c r="B5" i="19"/>
  <c r="B3" i="19"/>
  <c r="I126" i="18"/>
  <c r="H126" i="18"/>
  <c r="G126" i="18"/>
  <c r="F126" i="18"/>
  <c r="E126" i="18"/>
  <c r="I122" i="18"/>
  <c r="H122" i="18"/>
  <c r="G122" i="18"/>
  <c r="F122" i="18"/>
  <c r="E122" i="18"/>
  <c r="I121" i="18"/>
  <c r="H121" i="18"/>
  <c r="G121" i="18"/>
  <c r="F121" i="18"/>
  <c r="E121" i="18"/>
  <c r="I120" i="18"/>
  <c r="H120" i="18"/>
  <c r="G120" i="18"/>
  <c r="F120" i="18"/>
  <c r="E120" i="18"/>
  <c r="D120" i="18"/>
  <c r="I95" i="18"/>
  <c r="G95" i="18"/>
  <c r="E95" i="18"/>
  <c r="C95" i="18"/>
  <c r="I84" i="18"/>
  <c r="G84" i="18"/>
  <c r="E84" i="18"/>
  <c r="C84" i="18"/>
  <c r="I58" i="18"/>
  <c r="H58" i="18"/>
  <c r="G58" i="18"/>
  <c r="F58" i="18"/>
  <c r="E58" i="18"/>
  <c r="D58" i="18"/>
  <c r="C58" i="18"/>
  <c r="B58" i="18"/>
  <c r="I63" i="18"/>
  <c r="H42" i="18"/>
  <c r="H63" i="18" s="1"/>
  <c r="G63" i="18"/>
  <c r="F42" i="18"/>
  <c r="F63" i="18" s="1"/>
  <c r="E63" i="18"/>
  <c r="D42" i="18"/>
  <c r="D63" i="18" s="1"/>
  <c r="C63" i="18"/>
  <c r="B42" i="18"/>
  <c r="B63" i="18" s="1"/>
  <c r="Z19" i="18"/>
  <c r="Y19" i="18"/>
  <c r="Z13" i="18"/>
  <c r="Y13" i="18"/>
  <c r="Z12" i="18"/>
  <c r="Z15" i="18" s="1"/>
  <c r="Y12" i="18"/>
  <c r="Y15" i="18" s="1"/>
  <c r="L8" i="18"/>
  <c r="B8" i="18"/>
  <c r="B7" i="18"/>
  <c r="B6" i="18"/>
  <c r="B5" i="18"/>
  <c r="B4" i="18"/>
  <c r="B3" i="18"/>
  <c r="B2" i="18"/>
  <c r="G93" i="6"/>
  <c r="H93" i="6"/>
  <c r="I93" i="6"/>
  <c r="J93" i="6"/>
  <c r="D24" i="6"/>
  <c r="E24" i="6"/>
  <c r="F24" i="6"/>
  <c r="G24" i="6"/>
  <c r="H24" i="6"/>
  <c r="I24" i="6"/>
  <c r="J24" i="6"/>
  <c r="J179" i="19" l="1"/>
  <c r="J180" i="19" s="1"/>
  <c r="G179" i="19"/>
  <c r="G180" i="19" s="1"/>
  <c r="H167" i="19"/>
  <c r="E125" i="18"/>
  <c r="I167" i="19"/>
  <c r="H179" i="19"/>
  <c r="H180" i="19" s="1"/>
  <c r="I179" i="19"/>
  <c r="I180" i="19" s="1"/>
  <c r="H176" i="19"/>
  <c r="F167" i="19"/>
  <c r="J167" i="19"/>
  <c r="G167" i="19"/>
  <c r="E167" i="19"/>
  <c r="I176" i="19"/>
  <c r="J176" i="19"/>
  <c r="G176" i="19"/>
  <c r="Q22" i="19"/>
  <c r="P26" i="19" s="1"/>
  <c r="P22" i="19"/>
  <c r="P25" i="19" s="1"/>
  <c r="F125" i="18"/>
  <c r="F169" i="19"/>
  <c r="G45" i="19"/>
  <c r="H45" i="19"/>
  <c r="I45" i="19"/>
  <c r="J45" i="19"/>
  <c r="C45" i="19"/>
  <c r="C44" i="19"/>
  <c r="D45" i="19"/>
  <c r="D44" i="19"/>
  <c r="E45" i="19"/>
  <c r="E44" i="19"/>
  <c r="F45" i="19"/>
  <c r="F44" i="19"/>
  <c r="H44" i="19"/>
  <c r="J44" i="19"/>
  <c r="G44" i="19"/>
  <c r="I44" i="19"/>
  <c r="G125" i="18"/>
  <c r="H125" i="18"/>
  <c r="I125" i="18"/>
  <c r="E128" i="18"/>
  <c r="G128" i="18"/>
  <c r="G130" i="18" s="1"/>
  <c r="I128" i="18"/>
  <c r="F128" i="18"/>
  <c r="H128" i="18"/>
  <c r="Y18" i="18"/>
  <c r="Y16" i="18"/>
  <c r="B74" i="18"/>
  <c r="B72" i="18"/>
  <c r="B70" i="18"/>
  <c r="B68" i="18"/>
  <c r="B73" i="18"/>
  <c r="B71" i="18"/>
  <c r="B69" i="18"/>
  <c r="B67" i="18"/>
  <c r="D74" i="18"/>
  <c r="D72" i="18"/>
  <c r="D70" i="18"/>
  <c r="D68" i="18"/>
  <c r="D121" i="18"/>
  <c r="D125" i="18" s="1"/>
  <c r="D73" i="18"/>
  <c r="D71" i="18"/>
  <c r="D69" i="18"/>
  <c r="D67" i="18"/>
  <c r="F74" i="18"/>
  <c r="F72" i="18"/>
  <c r="F70" i="18"/>
  <c r="F68" i="18"/>
  <c r="F73" i="18"/>
  <c r="F71" i="18"/>
  <c r="F69" i="18"/>
  <c r="F67" i="18"/>
  <c r="H74" i="18"/>
  <c r="H72" i="18"/>
  <c r="H70" i="18"/>
  <c r="H68" i="18"/>
  <c r="H73" i="18"/>
  <c r="H71" i="18"/>
  <c r="H69" i="18"/>
  <c r="H67" i="18"/>
  <c r="Z18" i="18"/>
  <c r="Z16" i="18"/>
  <c r="C73" i="18"/>
  <c r="C71" i="18"/>
  <c r="C69" i="18"/>
  <c r="C67" i="18"/>
  <c r="C74" i="18"/>
  <c r="C72" i="18"/>
  <c r="C70" i="18"/>
  <c r="C68" i="18"/>
  <c r="E73" i="18"/>
  <c r="E71" i="18"/>
  <c r="E69" i="18"/>
  <c r="E67" i="18"/>
  <c r="E74" i="18"/>
  <c r="E72" i="18"/>
  <c r="E70" i="18"/>
  <c r="E68" i="18"/>
  <c r="G73" i="18"/>
  <c r="G71" i="18"/>
  <c r="G69" i="18"/>
  <c r="G67" i="18"/>
  <c r="G74" i="18"/>
  <c r="G72" i="18"/>
  <c r="G70" i="18"/>
  <c r="G68" i="18"/>
  <c r="I73" i="18"/>
  <c r="I71" i="18"/>
  <c r="I69" i="18"/>
  <c r="I67" i="18"/>
  <c r="I74" i="18"/>
  <c r="I72" i="18"/>
  <c r="I70" i="18"/>
  <c r="I68" i="18"/>
  <c r="C85" i="18"/>
  <c r="C86" i="18" s="1"/>
  <c r="C91" i="18" s="1"/>
  <c r="C92" i="18" s="1"/>
  <c r="E85" i="18"/>
  <c r="E86" i="18" s="1"/>
  <c r="E91" i="18" s="1"/>
  <c r="E92" i="18" s="1"/>
  <c r="G85" i="18"/>
  <c r="G86" i="18" s="1"/>
  <c r="G91" i="18" s="1"/>
  <c r="G92" i="18" s="1"/>
  <c r="I85" i="18"/>
  <c r="I86" i="18" s="1"/>
  <c r="I91" i="18" s="1"/>
  <c r="I92" i="18" s="1"/>
  <c r="Q25" i="19" l="1"/>
  <c r="J181" i="19"/>
  <c r="J182" i="19" s="1"/>
  <c r="I181" i="19"/>
  <c r="I182" i="19" s="1"/>
  <c r="E130" i="18"/>
  <c r="E135" i="18" s="1"/>
  <c r="E136" i="18" s="1"/>
  <c r="H130" i="18"/>
  <c r="H131" i="18" s="1"/>
  <c r="H133" i="18" s="1"/>
  <c r="F130" i="18"/>
  <c r="F135" i="18" s="1"/>
  <c r="F136" i="18" s="1"/>
  <c r="H181" i="19"/>
  <c r="H185" i="19" s="1"/>
  <c r="H186" i="19" s="1"/>
  <c r="I130" i="18"/>
  <c r="I131" i="18" s="1"/>
  <c r="G181" i="19"/>
  <c r="G185" i="19" s="1"/>
  <c r="G186" i="19" s="1"/>
  <c r="T23" i="19"/>
  <c r="I135" i="18"/>
  <c r="I136" i="18" s="1"/>
  <c r="E131" i="18"/>
  <c r="E133" i="18" s="1"/>
  <c r="I57" i="19"/>
  <c r="I43" i="19"/>
  <c r="I42" i="19"/>
  <c r="I41" i="19"/>
  <c r="I40" i="19"/>
  <c r="I39" i="19"/>
  <c r="I38" i="19"/>
  <c r="I37" i="19"/>
  <c r="I36" i="19"/>
  <c r="J57" i="19"/>
  <c r="J43" i="19"/>
  <c r="J42" i="19"/>
  <c r="J41" i="19"/>
  <c r="J40" i="19"/>
  <c r="J39" i="19"/>
  <c r="J38" i="19"/>
  <c r="J37" i="19"/>
  <c r="J36" i="19"/>
  <c r="G57" i="19"/>
  <c r="G43" i="19"/>
  <c r="G42" i="19"/>
  <c r="G41" i="19"/>
  <c r="G40" i="19"/>
  <c r="G39" i="19"/>
  <c r="G38" i="19"/>
  <c r="G37" i="19"/>
  <c r="G36" i="19"/>
  <c r="H57" i="19"/>
  <c r="H43" i="19"/>
  <c r="H42" i="19"/>
  <c r="H41" i="19"/>
  <c r="H40" i="19"/>
  <c r="H39" i="19"/>
  <c r="H38" i="19"/>
  <c r="H37" i="19"/>
  <c r="H36" i="19"/>
  <c r="F57" i="19"/>
  <c r="F43" i="19"/>
  <c r="F42" i="19"/>
  <c r="F41" i="19"/>
  <c r="F40" i="19"/>
  <c r="F39" i="19"/>
  <c r="F38" i="19"/>
  <c r="F37" i="19"/>
  <c r="F36" i="19"/>
  <c r="E57" i="19"/>
  <c r="E43" i="19"/>
  <c r="E42" i="19"/>
  <c r="E41" i="19"/>
  <c r="E40" i="19"/>
  <c r="E39" i="19"/>
  <c r="E38" i="19"/>
  <c r="E37" i="19"/>
  <c r="E36" i="19"/>
  <c r="D57" i="19"/>
  <c r="D43" i="19"/>
  <c r="D42" i="19"/>
  <c r="D41" i="19"/>
  <c r="D40" i="19"/>
  <c r="D39" i="19"/>
  <c r="D38" i="19"/>
  <c r="D37" i="19"/>
  <c r="D36" i="19"/>
  <c r="C57" i="19"/>
  <c r="C43" i="19"/>
  <c r="C42" i="19"/>
  <c r="C41" i="19"/>
  <c r="C40" i="19"/>
  <c r="C39" i="19"/>
  <c r="C38" i="19"/>
  <c r="C37" i="19"/>
  <c r="C36" i="19"/>
  <c r="G135" i="18"/>
  <c r="G136" i="18" s="1"/>
  <c r="G131" i="18"/>
  <c r="G132" i="18" s="1"/>
  <c r="I75" i="18"/>
  <c r="I97" i="18" s="1"/>
  <c r="G75" i="18"/>
  <c r="G97" i="18" s="1"/>
  <c r="E75" i="18"/>
  <c r="E97" i="18" s="1"/>
  <c r="C75" i="18"/>
  <c r="C97" i="18" s="1"/>
  <c r="E132" i="18"/>
  <c r="H75" i="18"/>
  <c r="H76" i="18" s="1"/>
  <c r="F75" i="18"/>
  <c r="F76" i="18" s="1"/>
  <c r="D75" i="18"/>
  <c r="D76" i="18" s="1"/>
  <c r="I87" i="18"/>
  <c r="G87" i="18"/>
  <c r="U69" i="18"/>
  <c r="U73" i="18"/>
  <c r="U70" i="18"/>
  <c r="U74" i="18"/>
  <c r="G133" i="18"/>
  <c r="B75" i="18"/>
  <c r="B76" i="18" s="1"/>
  <c r="U67" i="18"/>
  <c r="D126" i="18" s="1"/>
  <c r="E87" i="18"/>
  <c r="C87" i="18"/>
  <c r="U71" i="18"/>
  <c r="U68" i="18"/>
  <c r="U72" i="18"/>
  <c r="B6" i="6"/>
  <c r="M8" i="6"/>
  <c r="J185" i="19" l="1"/>
  <c r="J186" i="19" s="1"/>
  <c r="AG21" i="19"/>
  <c r="I185" i="19"/>
  <c r="I186" i="19" s="1"/>
  <c r="H135" i="18"/>
  <c r="H136" i="18" s="1"/>
  <c r="AG25" i="19"/>
  <c r="AE21" i="19"/>
  <c r="AE25" i="19"/>
  <c r="AH23" i="19"/>
  <c r="AD21" i="19"/>
  <c r="F131" i="18"/>
  <c r="AD23" i="19"/>
  <c r="AG23" i="19"/>
  <c r="AC21" i="19"/>
  <c r="AH21" i="19"/>
  <c r="AF21" i="19"/>
  <c r="AF23" i="19"/>
  <c r="AE23" i="19"/>
  <c r="AA21" i="19"/>
  <c r="H182" i="19"/>
  <c r="H184" i="19" s="1"/>
  <c r="G182" i="19"/>
  <c r="G184" i="19" s="1"/>
  <c r="AD25" i="19"/>
  <c r="AB21" i="19"/>
  <c r="AF25" i="19"/>
  <c r="AB23" i="19"/>
  <c r="AA23" i="19"/>
  <c r="AB25" i="19"/>
  <c r="AH25" i="19"/>
  <c r="AD27" i="19"/>
  <c r="AB27" i="19"/>
  <c r="I132" i="18"/>
  <c r="I133" i="18"/>
  <c r="AG27" i="19"/>
  <c r="AG22" i="19"/>
  <c r="AG24" i="19"/>
  <c r="AG26" i="19"/>
  <c r="AE27" i="19"/>
  <c r="AC23" i="19"/>
  <c r="AA25" i="19"/>
  <c r="AF27" i="19"/>
  <c r="AH27" i="19"/>
  <c r="AC25" i="19"/>
  <c r="Q26" i="19"/>
  <c r="AA27" i="19"/>
  <c r="AC27" i="19"/>
  <c r="AB22" i="19"/>
  <c r="AD22" i="19"/>
  <c r="AE22" i="19"/>
  <c r="AE24" i="19"/>
  <c r="AE26" i="19"/>
  <c r="AA22" i="19"/>
  <c r="AA24" i="19"/>
  <c r="AA26" i="19"/>
  <c r="AC22" i="19"/>
  <c r="AC24" i="19"/>
  <c r="AF22" i="19"/>
  <c r="AF24" i="19"/>
  <c r="AA28" i="19"/>
  <c r="AC26" i="19"/>
  <c r="AC28" i="19"/>
  <c r="AF26" i="19"/>
  <c r="AF28" i="19"/>
  <c r="AG28" i="19"/>
  <c r="AH22" i="19"/>
  <c r="C71" i="19"/>
  <c r="C70" i="19"/>
  <c r="C68" i="19"/>
  <c r="C67" i="19"/>
  <c r="C66" i="19"/>
  <c r="C65" i="19"/>
  <c r="C64" i="19"/>
  <c r="C63" i="19"/>
  <c r="C62" i="19"/>
  <c r="C61" i="19"/>
  <c r="AA30" i="19"/>
  <c r="E71" i="19"/>
  <c r="E70" i="19"/>
  <c r="E68" i="19"/>
  <c r="E67" i="19"/>
  <c r="E66" i="19"/>
  <c r="E65" i="19"/>
  <c r="E64" i="19"/>
  <c r="E63" i="19"/>
  <c r="E62" i="19"/>
  <c r="E61" i="19"/>
  <c r="AC30" i="19"/>
  <c r="H71" i="19"/>
  <c r="H70" i="19"/>
  <c r="H68" i="19"/>
  <c r="H67" i="19"/>
  <c r="H66" i="19"/>
  <c r="H65" i="19"/>
  <c r="H64" i="19"/>
  <c r="H63" i="19"/>
  <c r="H62" i="19"/>
  <c r="H61" i="19"/>
  <c r="AF30" i="19"/>
  <c r="I71" i="19"/>
  <c r="I70" i="19"/>
  <c r="I68" i="19"/>
  <c r="I67" i="19"/>
  <c r="I66" i="19"/>
  <c r="I65" i="19"/>
  <c r="I64" i="19"/>
  <c r="I63" i="19"/>
  <c r="I62" i="19"/>
  <c r="I61" i="19"/>
  <c r="AG30" i="19"/>
  <c r="AB24" i="19"/>
  <c r="AB26" i="19"/>
  <c r="AB28" i="19"/>
  <c r="AD24" i="19"/>
  <c r="AD26" i="19"/>
  <c r="AD28" i="19"/>
  <c r="AE28" i="19"/>
  <c r="AH24" i="19"/>
  <c r="AH26" i="19"/>
  <c r="AH28" i="19"/>
  <c r="I184" i="19"/>
  <c r="I183" i="19"/>
  <c r="D71" i="19"/>
  <c r="D70" i="19"/>
  <c r="D68" i="19"/>
  <c r="D67" i="19"/>
  <c r="D66" i="19"/>
  <c r="D65" i="19"/>
  <c r="D64" i="19"/>
  <c r="D63" i="19"/>
  <c r="D62" i="19"/>
  <c r="D61" i="19"/>
  <c r="AB30" i="19"/>
  <c r="F71" i="19"/>
  <c r="F70" i="19"/>
  <c r="F68" i="19"/>
  <c r="F67" i="19"/>
  <c r="F66" i="19"/>
  <c r="F65" i="19"/>
  <c r="F64" i="19"/>
  <c r="F63" i="19"/>
  <c r="F62" i="19"/>
  <c r="F61" i="19"/>
  <c r="AD30" i="19"/>
  <c r="G71" i="19"/>
  <c r="G70" i="19"/>
  <c r="G68" i="19"/>
  <c r="G67" i="19"/>
  <c r="G66" i="19"/>
  <c r="G65" i="19"/>
  <c r="G64" i="19"/>
  <c r="G63" i="19"/>
  <c r="G62" i="19"/>
  <c r="G61" i="19"/>
  <c r="AE30" i="19"/>
  <c r="J184" i="19"/>
  <c r="J183" i="19"/>
  <c r="J71" i="19"/>
  <c r="J70" i="19"/>
  <c r="J68" i="19"/>
  <c r="J67" i="19"/>
  <c r="J66" i="19"/>
  <c r="J65" i="19"/>
  <c r="J64" i="19"/>
  <c r="J63" i="19"/>
  <c r="J62" i="19"/>
  <c r="J61" i="19"/>
  <c r="AH30" i="19"/>
  <c r="H132" i="18"/>
  <c r="H134" i="18" s="1"/>
  <c r="E134" i="18"/>
  <c r="G134" i="18"/>
  <c r="D95" i="18"/>
  <c r="D64" i="18"/>
  <c r="D122" i="18" s="1"/>
  <c r="D128" i="18" s="1"/>
  <c r="H95" i="18"/>
  <c r="H97" i="18" s="1"/>
  <c r="H100" i="18" s="1"/>
  <c r="H101" i="18" s="1"/>
  <c r="H64" i="18"/>
  <c r="H84" i="18" s="1"/>
  <c r="B95" i="18"/>
  <c r="B97" i="18" s="1"/>
  <c r="B100" i="18" s="1"/>
  <c r="B101" i="18" s="1"/>
  <c r="B64" i="18"/>
  <c r="B84" i="18" s="1"/>
  <c r="F95" i="18"/>
  <c r="F97" i="18" s="1"/>
  <c r="F100" i="18" s="1"/>
  <c r="F101" i="18" s="1"/>
  <c r="F64" i="18"/>
  <c r="F84" i="18" s="1"/>
  <c r="C89" i="18"/>
  <c r="C88" i="18"/>
  <c r="I89" i="18"/>
  <c r="I88" i="18"/>
  <c r="C76" i="18"/>
  <c r="C64" i="18" s="1"/>
  <c r="E76" i="18"/>
  <c r="E64" i="18" s="1"/>
  <c r="G76" i="18"/>
  <c r="G64" i="18" s="1"/>
  <c r="I76" i="18"/>
  <c r="I64" i="18" s="1"/>
  <c r="E89" i="18"/>
  <c r="E88" i="18"/>
  <c r="G89" i="18"/>
  <c r="G88" i="18"/>
  <c r="C100" i="18"/>
  <c r="C101" i="18" s="1"/>
  <c r="C98" i="18"/>
  <c r="C99" i="18" s="1"/>
  <c r="E100" i="18"/>
  <c r="E101" i="18" s="1"/>
  <c r="E98" i="18"/>
  <c r="E99" i="18" s="1"/>
  <c r="G100" i="18"/>
  <c r="G101" i="18" s="1"/>
  <c r="G98" i="18"/>
  <c r="G99" i="18" s="1"/>
  <c r="I100" i="18"/>
  <c r="I101" i="18" s="1"/>
  <c r="I98" i="18"/>
  <c r="I99" i="18" s="1"/>
  <c r="D97" i="18"/>
  <c r="D100" i="18" s="1"/>
  <c r="D101" i="18" s="1"/>
  <c r="B8" i="6"/>
  <c r="AB36" i="11"/>
  <c r="V46" i="11"/>
  <c r="X48" i="11"/>
  <c r="X44" i="11"/>
  <c r="V52" i="11"/>
  <c r="V45" i="11"/>
  <c r="V44" i="11"/>
  <c r="V51" i="11"/>
  <c r="V50" i="11"/>
  <c r="X49" i="11"/>
  <c r="X50" i="11"/>
  <c r="X45" i="11"/>
  <c r="X46" i="11"/>
  <c r="V43" i="11"/>
  <c r="M12" i="21" s="1"/>
  <c r="V49" i="11"/>
  <c r="M10" i="21" s="1"/>
  <c r="X52" i="11"/>
  <c r="M7" i="19" s="1"/>
  <c r="X43" i="11"/>
  <c r="M6" i="21" s="1"/>
  <c r="AA36" i="11"/>
  <c r="AD28" i="11"/>
  <c r="AD29" i="11"/>
  <c r="Z20" i="11"/>
  <c r="AC36" i="11"/>
  <c r="AD27" i="11"/>
  <c r="W32" i="11"/>
  <c r="X20" i="11"/>
  <c r="V27" i="11"/>
  <c r="M11" i="21" s="1"/>
  <c r="AE33" i="11"/>
  <c r="M7" i="21" s="1"/>
  <c r="X39" i="11"/>
  <c r="M9" i="21" s="1"/>
  <c r="AC22" i="11"/>
  <c r="M5" i="21" s="1"/>
  <c r="J97" i="6"/>
  <c r="F91" i="6"/>
  <c r="G91" i="6"/>
  <c r="H91" i="6"/>
  <c r="I91" i="6"/>
  <c r="J91" i="6"/>
  <c r="G92" i="6"/>
  <c r="G99" i="6" s="1"/>
  <c r="H92" i="6"/>
  <c r="H99" i="6" s="1"/>
  <c r="I92" i="6"/>
  <c r="I99" i="6" s="1"/>
  <c r="J92" i="6"/>
  <c r="I134" i="18" l="1"/>
  <c r="F132" i="18"/>
  <c r="F133" i="18"/>
  <c r="J99" i="6"/>
  <c r="J100" i="6" s="1"/>
  <c r="AI21" i="19"/>
  <c r="G183" i="19"/>
  <c r="H183" i="19"/>
  <c r="AI23" i="19"/>
  <c r="D72" i="19"/>
  <c r="C72" i="19"/>
  <c r="AI25" i="19"/>
  <c r="AI27" i="19"/>
  <c r="F170" i="19"/>
  <c r="F176" i="19" s="1"/>
  <c r="M4" i="19"/>
  <c r="L5" i="18"/>
  <c r="M6" i="19"/>
  <c r="L7" i="18"/>
  <c r="M11" i="19"/>
  <c r="L12" i="18"/>
  <c r="I90" i="18"/>
  <c r="C90" i="18"/>
  <c r="AI24" i="19"/>
  <c r="E170" i="19"/>
  <c r="E176" i="19" s="1"/>
  <c r="M8" i="19"/>
  <c r="L9" i="18"/>
  <c r="M10" i="19"/>
  <c r="L11" i="18"/>
  <c r="M5" i="19"/>
  <c r="L6" i="18"/>
  <c r="M9" i="19"/>
  <c r="L10" i="18"/>
  <c r="I100" i="6"/>
  <c r="H100" i="6"/>
  <c r="AI26" i="19"/>
  <c r="AI22" i="19"/>
  <c r="AI28" i="19"/>
  <c r="J72" i="19"/>
  <c r="J69" i="19"/>
  <c r="G72" i="19"/>
  <c r="G69" i="19"/>
  <c r="D69" i="19"/>
  <c r="E72" i="19"/>
  <c r="E69" i="19"/>
  <c r="AM53" i="19"/>
  <c r="AK22" i="19"/>
  <c r="AL22" i="19" s="1"/>
  <c r="AM55" i="19"/>
  <c r="AK24" i="19"/>
  <c r="AL24" i="19" s="1"/>
  <c r="AM57" i="19"/>
  <c r="AK26" i="19"/>
  <c r="AL26" i="19" s="1"/>
  <c r="AM59" i="19"/>
  <c r="AK28" i="19"/>
  <c r="AL28" i="19" s="1"/>
  <c r="F72" i="19"/>
  <c r="F69" i="19"/>
  <c r="I72" i="19"/>
  <c r="I69" i="19"/>
  <c r="H72" i="19"/>
  <c r="H69" i="19"/>
  <c r="C69" i="19"/>
  <c r="AM52" i="19"/>
  <c r="AK21" i="19"/>
  <c r="AL21" i="19" s="1"/>
  <c r="AM54" i="19"/>
  <c r="AK23" i="19"/>
  <c r="AL23" i="19" s="1"/>
  <c r="AM56" i="19"/>
  <c r="F164" i="19" s="1"/>
  <c r="F177" i="19" s="1"/>
  <c r="AK25" i="19"/>
  <c r="AL25" i="19" s="1"/>
  <c r="AM58" i="19"/>
  <c r="AK27" i="19"/>
  <c r="AL27" i="19" s="1"/>
  <c r="D84" i="18"/>
  <c r="D85" i="18" s="1"/>
  <c r="D86" i="18" s="1"/>
  <c r="D91" i="18" s="1"/>
  <c r="D92" i="18" s="1"/>
  <c r="F85" i="18"/>
  <c r="F86" i="18" s="1"/>
  <c r="F91" i="18" s="1"/>
  <c r="F92" i="18" s="1"/>
  <c r="B85" i="18"/>
  <c r="B86" i="18" s="1"/>
  <c r="B91" i="18" s="1"/>
  <c r="B92" i="18" s="1"/>
  <c r="H85" i="18"/>
  <c r="H86" i="18" s="1"/>
  <c r="H91" i="18" s="1"/>
  <c r="H92" i="18" s="1"/>
  <c r="D129" i="18"/>
  <c r="D130" i="18" s="1"/>
  <c r="D135" i="18" s="1"/>
  <c r="D136" i="18" s="1"/>
  <c r="G90" i="18"/>
  <c r="E90" i="18"/>
  <c r="B98" i="18"/>
  <c r="B99" i="18" s="1"/>
  <c r="D98" i="18"/>
  <c r="D99" i="18" s="1"/>
  <c r="F98" i="18"/>
  <c r="F99" i="18" s="1"/>
  <c r="H98" i="18"/>
  <c r="H99" i="18" s="1"/>
  <c r="M6" i="6"/>
  <c r="M10" i="6"/>
  <c r="M12" i="6"/>
  <c r="M9" i="6"/>
  <c r="M11" i="6"/>
  <c r="M7" i="6"/>
  <c r="M5" i="6"/>
  <c r="I96" i="6"/>
  <c r="I101" i="6" s="1"/>
  <c r="I106" i="6" s="1"/>
  <c r="I107" i="6" s="1"/>
  <c r="G96" i="6"/>
  <c r="G101" i="6" s="1"/>
  <c r="G106" i="6" s="1"/>
  <c r="G107" i="6" s="1"/>
  <c r="J96" i="6"/>
  <c r="H96" i="6"/>
  <c r="H101" i="6" s="1"/>
  <c r="H106" i="6" s="1"/>
  <c r="H107" i="6" s="1"/>
  <c r="C21" i="6"/>
  <c r="C29" i="6" s="1"/>
  <c r="C33" i="6" s="1"/>
  <c r="D39" i="11"/>
  <c r="C38" i="11"/>
  <c r="B4" i="6"/>
  <c r="B5" i="6"/>
  <c r="B2" i="6"/>
  <c r="E36" i="11"/>
  <c r="E37" i="11"/>
  <c r="G100" i="6" l="1"/>
  <c r="AM21" i="19"/>
  <c r="AL52" i="19" s="1"/>
  <c r="F134" i="18"/>
  <c r="AM27" i="19"/>
  <c r="AL58" i="19" s="1"/>
  <c r="E177" i="19" s="1"/>
  <c r="AM23" i="19"/>
  <c r="AL54" i="19" s="1"/>
  <c r="J101" i="6"/>
  <c r="J106" i="6" s="1"/>
  <c r="J107" i="6" s="1"/>
  <c r="F58" i="19"/>
  <c r="E93" i="19" s="1"/>
  <c r="AM25" i="19"/>
  <c r="AL56" i="19" s="1"/>
  <c r="H58" i="19"/>
  <c r="AF31" i="19" s="1"/>
  <c r="AM28" i="19"/>
  <c r="AL59" i="19" s="1"/>
  <c r="AM26" i="19"/>
  <c r="AL57" i="19" s="1"/>
  <c r="AM24" i="19"/>
  <c r="AL55" i="19" s="1"/>
  <c r="J58" i="19"/>
  <c r="I93" i="19" s="1"/>
  <c r="D58" i="19"/>
  <c r="C93" i="19" s="1"/>
  <c r="AM22" i="19"/>
  <c r="AL53" i="19" s="1"/>
  <c r="G102" i="6"/>
  <c r="I102" i="6"/>
  <c r="H102" i="6"/>
  <c r="E58" i="19"/>
  <c r="F77" i="19" s="1"/>
  <c r="G58" i="19"/>
  <c r="AE31" i="19" s="1"/>
  <c r="C58" i="19"/>
  <c r="C77" i="19" s="1"/>
  <c r="I58" i="19"/>
  <c r="D87" i="18"/>
  <c r="D131" i="18"/>
  <c r="H87" i="18"/>
  <c r="B87" i="18"/>
  <c r="F87" i="18"/>
  <c r="G21" i="6"/>
  <c r="G29" i="6" s="1"/>
  <c r="G33" i="6" s="1"/>
  <c r="T39" i="5"/>
  <c r="T38" i="5"/>
  <c r="T37" i="5"/>
  <c r="T36" i="5"/>
  <c r="T35" i="5"/>
  <c r="T34" i="5"/>
  <c r="T33" i="5"/>
  <c r="T32" i="5"/>
  <c r="J21" i="6"/>
  <c r="J29" i="6" s="1"/>
  <c r="J33" i="6" s="1"/>
  <c r="I21" i="6"/>
  <c r="I29" i="6" s="1"/>
  <c r="I33" i="6" s="1"/>
  <c r="H21" i="6"/>
  <c r="H29" i="6" s="1"/>
  <c r="H33" i="6" s="1"/>
  <c r="F21" i="6"/>
  <c r="F29" i="6" s="1"/>
  <c r="F33" i="6" s="1"/>
  <c r="E21" i="6"/>
  <c r="E29" i="6" s="1"/>
  <c r="E33" i="6" s="1"/>
  <c r="D21" i="6"/>
  <c r="D29" i="6" s="1"/>
  <c r="D33" i="6" s="1"/>
  <c r="S39" i="5"/>
  <c r="S38" i="5"/>
  <c r="S37" i="5"/>
  <c r="S36" i="5"/>
  <c r="S35" i="5"/>
  <c r="S34" i="5"/>
  <c r="S33" i="5"/>
  <c r="S32" i="5"/>
  <c r="Q39" i="5"/>
  <c r="Q38" i="5"/>
  <c r="Q37" i="5"/>
  <c r="Q36" i="5"/>
  <c r="Q34" i="5"/>
  <c r="Q35" i="5"/>
  <c r="Q33" i="5"/>
  <c r="Q32" i="5"/>
  <c r="O39" i="5"/>
  <c r="O38" i="5"/>
  <c r="O37" i="5"/>
  <c r="O36" i="5"/>
  <c r="O35" i="5"/>
  <c r="O34" i="5"/>
  <c r="O33" i="5"/>
  <c r="O32" i="5"/>
  <c r="E39" i="5"/>
  <c r="E32" i="5"/>
  <c r="E33" i="5"/>
  <c r="E34" i="5"/>
  <c r="H39" i="5"/>
  <c r="H38" i="5"/>
  <c r="H37" i="5"/>
  <c r="H36" i="5"/>
  <c r="H35" i="5"/>
  <c r="H34" i="5"/>
  <c r="H33" i="5"/>
  <c r="H32" i="5"/>
  <c r="K39" i="5"/>
  <c r="K38" i="5"/>
  <c r="K37" i="5"/>
  <c r="K36" i="5"/>
  <c r="K35" i="5"/>
  <c r="K34" i="5"/>
  <c r="K33" i="5"/>
  <c r="K32" i="5"/>
  <c r="E38" i="5"/>
  <c r="E37" i="5"/>
  <c r="E36" i="5"/>
  <c r="E35" i="5"/>
  <c r="H40" i="5"/>
  <c r="C39" i="5"/>
  <c r="C38" i="5"/>
  <c r="C37" i="5"/>
  <c r="C36" i="5"/>
  <c r="C35" i="5"/>
  <c r="C34" i="5"/>
  <c r="C33" i="5"/>
  <c r="C32" i="5"/>
  <c r="G110" i="6" l="1"/>
  <c r="G111" i="6" s="1"/>
  <c r="G104" i="6"/>
  <c r="I110" i="6"/>
  <c r="I111" i="6" s="1"/>
  <c r="I104" i="6"/>
  <c r="H110" i="6"/>
  <c r="H111" i="6" s="1"/>
  <c r="H104" i="6"/>
  <c r="J127" i="19"/>
  <c r="J93" i="19"/>
  <c r="J94" i="19" s="1"/>
  <c r="I127" i="19"/>
  <c r="J77" i="19"/>
  <c r="J78" i="19" s="1"/>
  <c r="J79" i="19" s="1"/>
  <c r="J109" i="19"/>
  <c r="H93" i="19"/>
  <c r="H94" i="19" s="1"/>
  <c r="H95" i="19" s="1"/>
  <c r="H99" i="19" s="1"/>
  <c r="H127" i="19"/>
  <c r="G109" i="19"/>
  <c r="I109" i="19"/>
  <c r="I77" i="19"/>
  <c r="I78" i="19" s="1"/>
  <c r="G127" i="19"/>
  <c r="G93" i="19"/>
  <c r="G94" i="19" s="1"/>
  <c r="H77" i="19"/>
  <c r="H78" i="19" s="1"/>
  <c r="H109" i="19"/>
  <c r="G77" i="19"/>
  <c r="G78" i="19" s="1"/>
  <c r="F127" i="19"/>
  <c r="F93" i="19"/>
  <c r="F94" i="19" s="1"/>
  <c r="F95" i="19" s="1"/>
  <c r="F99" i="19" s="1"/>
  <c r="E127" i="19"/>
  <c r="F109" i="19"/>
  <c r="E109" i="19"/>
  <c r="E77" i="19"/>
  <c r="E78" i="19" s="1"/>
  <c r="D127" i="19"/>
  <c r="D93" i="19"/>
  <c r="C127" i="19"/>
  <c r="D109" i="19"/>
  <c r="D77" i="19"/>
  <c r="D78" i="19" s="1"/>
  <c r="D79" i="19" s="1"/>
  <c r="C109" i="19"/>
  <c r="T40" i="5"/>
  <c r="AD31" i="19"/>
  <c r="H103" i="6"/>
  <c r="G40" i="6"/>
  <c r="J102" i="6"/>
  <c r="J104" i="6" s="1"/>
  <c r="E94" i="19"/>
  <c r="AB31" i="19"/>
  <c r="C94" i="19"/>
  <c r="C95" i="19" s="1"/>
  <c r="AA31" i="19"/>
  <c r="E171" i="19" s="1"/>
  <c r="C78" i="19"/>
  <c r="AH31" i="19"/>
  <c r="F78" i="19"/>
  <c r="F79" i="19" s="1"/>
  <c r="AC31" i="19"/>
  <c r="AG31" i="19"/>
  <c r="F171" i="19" s="1"/>
  <c r="I103" i="6"/>
  <c r="G103" i="6"/>
  <c r="F92" i="6"/>
  <c r="E92" i="6"/>
  <c r="E96" i="6" s="1"/>
  <c r="F89" i="18"/>
  <c r="F88" i="18"/>
  <c r="H89" i="18"/>
  <c r="H88" i="18"/>
  <c r="D89" i="18"/>
  <c r="D88" i="18"/>
  <c r="B89" i="18"/>
  <c r="B88" i="18"/>
  <c r="D133" i="18"/>
  <c r="D132" i="18"/>
  <c r="O40" i="5"/>
  <c r="Q40" i="5"/>
  <c r="S40" i="5"/>
  <c r="F34" i="6"/>
  <c r="I35" i="6"/>
  <c r="E40" i="6"/>
  <c r="K40" i="5"/>
  <c r="C40" i="5"/>
  <c r="H34" i="6"/>
  <c r="H35" i="6"/>
  <c r="H36" i="6"/>
  <c r="H37" i="6"/>
  <c r="H38" i="6"/>
  <c r="H39" i="6"/>
  <c r="C34" i="6"/>
  <c r="E34" i="6"/>
  <c r="G34" i="6"/>
  <c r="I34" i="6"/>
  <c r="E35" i="6"/>
  <c r="G35" i="6"/>
  <c r="E36" i="6"/>
  <c r="G36" i="6"/>
  <c r="I36" i="6"/>
  <c r="E37" i="6"/>
  <c r="G37" i="6"/>
  <c r="E38" i="6"/>
  <c r="G38" i="6"/>
  <c r="I38" i="6"/>
  <c r="E39" i="6"/>
  <c r="G39" i="6"/>
  <c r="E40" i="5"/>
  <c r="I110" i="19" l="1"/>
  <c r="J128" i="19"/>
  <c r="J129" i="19" s="1"/>
  <c r="C128" i="19"/>
  <c r="C129" i="19" s="1"/>
  <c r="F128" i="19"/>
  <c r="F129" i="19" s="1"/>
  <c r="G110" i="19"/>
  <c r="G111" i="19" s="1"/>
  <c r="D128" i="19"/>
  <c r="D129" i="19" s="1"/>
  <c r="D110" i="19"/>
  <c r="D111" i="19" s="1"/>
  <c r="E128" i="19"/>
  <c r="E129" i="19" s="1"/>
  <c r="H128" i="19"/>
  <c r="H129" i="19" s="1"/>
  <c r="J110" i="19"/>
  <c r="J111" i="19" s="1"/>
  <c r="E110" i="19"/>
  <c r="E111" i="19" s="1"/>
  <c r="H110" i="19"/>
  <c r="H111" i="19" s="1"/>
  <c r="C110" i="19"/>
  <c r="C111" i="19" s="1"/>
  <c r="F110" i="19"/>
  <c r="F111" i="19" s="1"/>
  <c r="G128" i="19"/>
  <c r="G129" i="19" s="1"/>
  <c r="I128" i="19"/>
  <c r="I129" i="19" s="1"/>
  <c r="H96" i="19"/>
  <c r="H98" i="19" s="1"/>
  <c r="H105" i="6"/>
  <c r="G105" i="6"/>
  <c r="F96" i="6"/>
  <c r="F179" i="19"/>
  <c r="F181" i="19" s="1"/>
  <c r="E179" i="19"/>
  <c r="E180" i="19" s="1"/>
  <c r="E181" i="19" s="1"/>
  <c r="E182" i="19" s="1"/>
  <c r="C85" i="19" s="1"/>
  <c r="E85" i="19"/>
  <c r="C119" i="19"/>
  <c r="J110" i="6"/>
  <c r="J111" i="6" s="1"/>
  <c r="J103" i="6"/>
  <c r="J105" i="6" s="1"/>
  <c r="I105" i="6"/>
  <c r="F96" i="19"/>
  <c r="F97" i="19" s="1"/>
  <c r="E95" i="19"/>
  <c r="G95" i="19"/>
  <c r="I94" i="19"/>
  <c r="I95" i="19" s="1"/>
  <c r="I99" i="19" s="1"/>
  <c r="I100" i="19" s="1"/>
  <c r="J95" i="19"/>
  <c r="J99" i="19" s="1"/>
  <c r="J100" i="19" s="1"/>
  <c r="D94" i="19"/>
  <c r="D95" i="19" s="1"/>
  <c r="D99" i="19" s="1"/>
  <c r="D100" i="19" s="1"/>
  <c r="C96" i="19"/>
  <c r="C97" i="19" s="1"/>
  <c r="C99" i="19"/>
  <c r="C100" i="19" s="1"/>
  <c r="C79" i="19"/>
  <c r="H79" i="19"/>
  <c r="E79" i="19"/>
  <c r="G79" i="19"/>
  <c r="F80" i="19"/>
  <c r="F82" i="19" s="1"/>
  <c r="J80" i="19"/>
  <c r="J81" i="19" s="1"/>
  <c r="D80" i="19"/>
  <c r="D82" i="19" s="1"/>
  <c r="D83" i="19"/>
  <c r="D84" i="19" s="1"/>
  <c r="F100" i="19"/>
  <c r="F83" i="19"/>
  <c r="F84" i="19" s="1"/>
  <c r="J83" i="19"/>
  <c r="J84" i="19" s="1"/>
  <c r="D134" i="18"/>
  <c r="B90" i="18"/>
  <c r="D90" i="18"/>
  <c r="H90" i="18"/>
  <c r="F90" i="18"/>
  <c r="F39" i="6"/>
  <c r="D38" i="6"/>
  <c r="F37" i="6"/>
  <c r="D36" i="6"/>
  <c r="F35" i="6"/>
  <c r="D34" i="6"/>
  <c r="D39" i="6"/>
  <c r="F38" i="6"/>
  <c r="D37" i="6"/>
  <c r="F36" i="6"/>
  <c r="D35" i="6"/>
  <c r="I39" i="6"/>
  <c r="I37" i="6"/>
  <c r="J39" i="6"/>
  <c r="J38" i="6"/>
  <c r="J37" i="6"/>
  <c r="J36" i="6"/>
  <c r="J35" i="6"/>
  <c r="J34" i="6"/>
  <c r="I40" i="6"/>
  <c r="H40" i="6"/>
  <c r="H41" i="6" s="1"/>
  <c r="J40" i="6"/>
  <c r="F40" i="6"/>
  <c r="D40" i="6"/>
  <c r="V33" i="6"/>
  <c r="E97" i="6" s="1"/>
  <c r="C35" i="6"/>
  <c r="C39" i="6"/>
  <c r="C38" i="6"/>
  <c r="C37" i="6"/>
  <c r="C36" i="6"/>
  <c r="C40" i="6"/>
  <c r="G41" i="6"/>
  <c r="E41" i="6"/>
  <c r="I111" i="19" l="1"/>
  <c r="I112" i="19" s="1"/>
  <c r="I115" i="19" s="1"/>
  <c r="I116" i="19" s="1"/>
  <c r="D135" i="19"/>
  <c r="D136" i="19" s="1"/>
  <c r="F135" i="19"/>
  <c r="F136" i="19" s="1"/>
  <c r="J130" i="19"/>
  <c r="J133" i="19" s="1"/>
  <c r="J134" i="19" s="1"/>
  <c r="I135" i="19"/>
  <c r="I136" i="19" s="1"/>
  <c r="H135" i="19"/>
  <c r="H136" i="19" s="1"/>
  <c r="D112" i="19"/>
  <c r="D113" i="19" s="1"/>
  <c r="F117" i="19"/>
  <c r="F118" i="19" s="1"/>
  <c r="G112" i="19"/>
  <c r="G113" i="19" s="1"/>
  <c r="H117" i="19"/>
  <c r="H118" i="19" s="1"/>
  <c r="E117" i="19"/>
  <c r="E118" i="19" s="1"/>
  <c r="J112" i="19"/>
  <c r="C112" i="19"/>
  <c r="C115" i="19" s="1"/>
  <c r="C116" i="19" s="1"/>
  <c r="F130" i="19"/>
  <c r="F131" i="19" s="1"/>
  <c r="G117" i="19"/>
  <c r="G118" i="19" s="1"/>
  <c r="H97" i="19"/>
  <c r="F180" i="19"/>
  <c r="F182" i="19"/>
  <c r="F183" i="19" s="1"/>
  <c r="F185" i="19"/>
  <c r="F186" i="19" s="1"/>
  <c r="V37" i="6"/>
  <c r="D41" i="6"/>
  <c r="D42" i="6" s="1"/>
  <c r="E86" i="19"/>
  <c r="C120" i="19"/>
  <c r="C86" i="19"/>
  <c r="V39" i="6"/>
  <c r="F98" i="19"/>
  <c r="E130" i="19"/>
  <c r="E133" i="19" s="1"/>
  <c r="E134" i="19" s="1"/>
  <c r="E99" i="19"/>
  <c r="E100" i="19" s="1"/>
  <c r="E96" i="19"/>
  <c r="G99" i="19"/>
  <c r="G100" i="19" s="1"/>
  <c r="G96" i="19"/>
  <c r="G130" i="19"/>
  <c r="G133" i="19" s="1"/>
  <c r="G134" i="19" s="1"/>
  <c r="I96" i="19"/>
  <c r="J96" i="19"/>
  <c r="D96" i="19"/>
  <c r="D97" i="19" s="1"/>
  <c r="C98" i="19"/>
  <c r="G80" i="19"/>
  <c r="G82" i="19" s="1"/>
  <c r="E80" i="19"/>
  <c r="E81" i="19" s="1"/>
  <c r="C80" i="19"/>
  <c r="F41" i="6"/>
  <c r="F42" i="6" s="1"/>
  <c r="J41" i="6"/>
  <c r="J42" i="6" s="1"/>
  <c r="I41" i="6"/>
  <c r="I42" i="6" s="1"/>
  <c r="F81" i="19"/>
  <c r="V36" i="6"/>
  <c r="V38" i="6"/>
  <c r="V35" i="6"/>
  <c r="C83" i="19"/>
  <c r="C84" i="19" s="1"/>
  <c r="G83" i="19"/>
  <c r="G84" i="19" s="1"/>
  <c r="J82" i="19"/>
  <c r="D81" i="19"/>
  <c r="E83" i="19"/>
  <c r="E84" i="19" s="1"/>
  <c r="E185" i="19"/>
  <c r="E186" i="19" s="1"/>
  <c r="H100" i="19"/>
  <c r="H83" i="19"/>
  <c r="H84" i="19" s="1"/>
  <c r="H80" i="19"/>
  <c r="I79" i="19"/>
  <c r="E184" i="19"/>
  <c r="E183" i="19"/>
  <c r="V34" i="6"/>
  <c r="E42" i="6"/>
  <c r="V40" i="6"/>
  <c r="G42" i="6"/>
  <c r="C41" i="6"/>
  <c r="H42" i="6"/>
  <c r="I117" i="19" l="1"/>
  <c r="I118" i="19" s="1"/>
  <c r="J145" i="19"/>
  <c r="J135" i="19"/>
  <c r="J136" i="19" s="1"/>
  <c r="D130" i="19"/>
  <c r="D133" i="19" s="1"/>
  <c r="D134" i="19" s="1"/>
  <c r="F112" i="19"/>
  <c r="F115" i="19" s="1"/>
  <c r="F116" i="19" s="1"/>
  <c r="H130" i="19"/>
  <c r="H133" i="19" s="1"/>
  <c r="H134" i="19" s="1"/>
  <c r="J117" i="19"/>
  <c r="J118" i="19" s="1"/>
  <c r="E112" i="19"/>
  <c r="E114" i="19" s="1"/>
  <c r="C117" i="19"/>
  <c r="C118" i="19" s="1"/>
  <c r="I130" i="19"/>
  <c r="I132" i="19" s="1"/>
  <c r="F133" i="19"/>
  <c r="F134" i="19" s="1"/>
  <c r="G115" i="19"/>
  <c r="G116" i="19" s="1"/>
  <c r="C130" i="19"/>
  <c r="C135" i="19"/>
  <c r="C136" i="19" s="1"/>
  <c r="D117" i="19"/>
  <c r="D118" i="19" s="1"/>
  <c r="J114" i="19"/>
  <c r="J115" i="19"/>
  <c r="J116" i="19" s="1"/>
  <c r="J113" i="19"/>
  <c r="D115" i="19"/>
  <c r="D116" i="19" s="1"/>
  <c r="H112" i="19"/>
  <c r="H115" i="19" s="1"/>
  <c r="H116" i="19" s="1"/>
  <c r="F132" i="19"/>
  <c r="D114" i="19"/>
  <c r="G114" i="19"/>
  <c r="C113" i="19"/>
  <c r="C114" i="19"/>
  <c r="I113" i="19"/>
  <c r="I114" i="19"/>
  <c r="J131" i="19"/>
  <c r="J132" i="19"/>
  <c r="C103" i="19"/>
  <c r="C105" i="19" s="1"/>
  <c r="I121" i="19"/>
  <c r="I123" i="19" s="1"/>
  <c r="C121" i="19"/>
  <c r="C123" i="19" s="1"/>
  <c r="C87" i="19"/>
  <c r="C88" i="19" s="1"/>
  <c r="J30" i="6"/>
  <c r="J60" i="6" s="1"/>
  <c r="H30" i="6"/>
  <c r="H60" i="6" s="1"/>
  <c r="F30" i="6"/>
  <c r="F60" i="6" s="1"/>
  <c r="D30" i="6"/>
  <c r="D50" i="6" s="1"/>
  <c r="D51" i="6" s="1"/>
  <c r="F184" i="19"/>
  <c r="E97" i="19"/>
  <c r="E98" i="19"/>
  <c r="E103" i="19"/>
  <c r="E105" i="19" s="1"/>
  <c r="E135" i="19"/>
  <c r="E136" i="19" s="1"/>
  <c r="G135" i="19"/>
  <c r="G136" i="19" s="1"/>
  <c r="G98" i="19"/>
  <c r="G97" i="19"/>
  <c r="G103" i="19"/>
  <c r="G105" i="19" s="1"/>
  <c r="E82" i="19"/>
  <c r="E87" i="19"/>
  <c r="E88" i="19" s="1"/>
  <c r="C82" i="19"/>
  <c r="I97" i="19"/>
  <c r="I98" i="19"/>
  <c r="J97" i="19"/>
  <c r="J98" i="19"/>
  <c r="I103" i="19"/>
  <c r="I105" i="19" s="1"/>
  <c r="D98" i="19"/>
  <c r="G87" i="19"/>
  <c r="G88" i="19" s="1"/>
  <c r="C81" i="19"/>
  <c r="G81" i="19"/>
  <c r="I83" i="19"/>
  <c r="I84" i="19" s="1"/>
  <c r="I80" i="19"/>
  <c r="I81" i="19" s="1"/>
  <c r="H82" i="19"/>
  <c r="H81" i="19"/>
  <c r="I30" i="6"/>
  <c r="I60" i="6" s="1"/>
  <c r="G30" i="6"/>
  <c r="G60" i="6" s="1"/>
  <c r="E30" i="6"/>
  <c r="C42" i="6"/>
  <c r="D132" i="19" l="1"/>
  <c r="D131" i="19"/>
  <c r="F114" i="19"/>
  <c r="H132" i="19"/>
  <c r="H131" i="19"/>
  <c r="F113" i="19"/>
  <c r="C145" i="19"/>
  <c r="F145" i="19" s="1"/>
  <c r="E121" i="19"/>
  <c r="E123" i="19" s="1"/>
  <c r="I139" i="19"/>
  <c r="I141" i="19" s="1"/>
  <c r="E113" i="19"/>
  <c r="I131" i="19"/>
  <c r="I133" i="19"/>
  <c r="I134" i="19" s="1"/>
  <c r="E115" i="19"/>
  <c r="E116" i="19" s="1"/>
  <c r="C132" i="19"/>
  <c r="C139" i="19"/>
  <c r="C133" i="19"/>
  <c r="C134" i="19" s="1"/>
  <c r="C131" i="19"/>
  <c r="H114" i="19"/>
  <c r="H113" i="19"/>
  <c r="G121" i="19"/>
  <c r="G61" i="6"/>
  <c r="G62" i="6" s="1"/>
  <c r="I61" i="6"/>
  <c r="I62" i="6" s="1"/>
  <c r="H61" i="6"/>
  <c r="H62" i="6" s="1"/>
  <c r="F61" i="6"/>
  <c r="F62" i="6" s="1"/>
  <c r="J61" i="6"/>
  <c r="J62" i="6" s="1"/>
  <c r="E131" i="19"/>
  <c r="E132" i="19"/>
  <c r="G131" i="19"/>
  <c r="G132" i="19"/>
  <c r="C104" i="19"/>
  <c r="C106" i="19" s="1"/>
  <c r="C122" i="19"/>
  <c r="I122" i="19"/>
  <c r="I124" i="19" s="1"/>
  <c r="C89" i="19"/>
  <c r="C90" i="19" s="1"/>
  <c r="J50" i="6"/>
  <c r="J51" i="6" s="1"/>
  <c r="I50" i="6"/>
  <c r="I51" i="6" s="1"/>
  <c r="H50" i="6"/>
  <c r="H51" i="6" s="1"/>
  <c r="G50" i="6"/>
  <c r="G51" i="6" s="1"/>
  <c r="F50" i="6"/>
  <c r="F51" i="6" s="1"/>
  <c r="E50" i="6"/>
  <c r="E51" i="6" s="1"/>
  <c r="E60" i="6"/>
  <c r="D60" i="6"/>
  <c r="D52" i="6"/>
  <c r="D57" i="6" s="1"/>
  <c r="D58" i="6" s="1"/>
  <c r="E89" i="19"/>
  <c r="E90" i="19" s="1"/>
  <c r="E139" i="19"/>
  <c r="E141" i="19" s="1"/>
  <c r="E104" i="19"/>
  <c r="G139" i="19"/>
  <c r="G141" i="19" s="1"/>
  <c r="G104" i="19"/>
  <c r="I104" i="19"/>
  <c r="G89" i="19"/>
  <c r="G90" i="19" s="1"/>
  <c r="I82" i="19"/>
  <c r="I87" i="19"/>
  <c r="I88" i="19" s="1"/>
  <c r="C30" i="6"/>
  <c r="F93" i="6" s="1"/>
  <c r="F99" i="6" s="1"/>
  <c r="I63" i="6" l="1"/>
  <c r="H63" i="6"/>
  <c r="H64" i="6" s="1"/>
  <c r="I140" i="19"/>
  <c r="I142" i="19" s="1"/>
  <c r="E122" i="19"/>
  <c r="E124" i="19" s="1"/>
  <c r="C140" i="19"/>
  <c r="C141" i="19"/>
  <c r="G123" i="19"/>
  <c r="G122" i="19"/>
  <c r="E61" i="6"/>
  <c r="E62" i="6" s="1"/>
  <c r="F52" i="6"/>
  <c r="J52" i="6"/>
  <c r="G52" i="6"/>
  <c r="H52" i="6"/>
  <c r="I52" i="6"/>
  <c r="D61" i="6"/>
  <c r="D62" i="6" s="1"/>
  <c r="J63" i="6"/>
  <c r="F63" i="6"/>
  <c r="C124" i="19"/>
  <c r="G140" i="19"/>
  <c r="E140" i="19"/>
  <c r="E93" i="6"/>
  <c r="E99" i="6" s="1"/>
  <c r="E100" i="6" s="1"/>
  <c r="E101" i="6" s="1"/>
  <c r="E106" i="6" s="1"/>
  <c r="E107" i="6" s="1"/>
  <c r="D53" i="6"/>
  <c r="C50" i="6"/>
  <c r="C51" i="6" s="1"/>
  <c r="C60" i="6"/>
  <c r="C61" i="6" s="1"/>
  <c r="I106" i="19"/>
  <c r="E106" i="19"/>
  <c r="G106" i="19"/>
  <c r="I89" i="19"/>
  <c r="I90" i="19" s="1"/>
  <c r="F101" i="6"/>
  <c r="F106" i="6" s="1"/>
  <c r="F107" i="6" s="1"/>
  <c r="F100" i="6"/>
  <c r="C142" i="19" l="1"/>
  <c r="G124" i="19"/>
  <c r="C62" i="6"/>
  <c r="E63" i="6"/>
  <c r="H66" i="6"/>
  <c r="H68" i="6" s="1"/>
  <c r="I66" i="6"/>
  <c r="I68" i="6" s="1"/>
  <c r="F66" i="6"/>
  <c r="F68" i="6" s="1"/>
  <c r="J66" i="6"/>
  <c r="J68" i="6" s="1"/>
  <c r="I57" i="6"/>
  <c r="I58" i="6" s="1"/>
  <c r="I53" i="6"/>
  <c r="I55" i="6" s="1"/>
  <c r="H53" i="6"/>
  <c r="H55" i="6" s="1"/>
  <c r="H57" i="6"/>
  <c r="H58" i="6" s="1"/>
  <c r="G57" i="6"/>
  <c r="G58" i="6" s="1"/>
  <c r="G53" i="6"/>
  <c r="G55" i="6" s="1"/>
  <c r="J57" i="6"/>
  <c r="J58" i="6" s="1"/>
  <c r="J53" i="6"/>
  <c r="J54" i="6" s="1"/>
  <c r="F57" i="6"/>
  <c r="F58" i="6" s="1"/>
  <c r="F53" i="6"/>
  <c r="F55" i="6" s="1"/>
  <c r="H65" i="6"/>
  <c r="H67" i="6" s="1"/>
  <c r="D54" i="6"/>
  <c r="D55" i="6"/>
  <c r="G63" i="6"/>
  <c r="I64" i="6"/>
  <c r="I65" i="6"/>
  <c r="I67" i="6" s="1"/>
  <c r="E142" i="19"/>
  <c r="G142" i="19"/>
  <c r="E102" i="6"/>
  <c r="E109" i="6"/>
  <c r="F102" i="6"/>
  <c r="F104" i="6" s="1"/>
  <c r="C52" i="6"/>
  <c r="C53" i="6" s="1"/>
  <c r="E52" i="6"/>
  <c r="E57" i="6" s="1"/>
  <c r="E58" i="6" s="1"/>
  <c r="J71" i="6" l="1"/>
  <c r="C63" i="6"/>
  <c r="C65" i="6" s="1"/>
  <c r="C67" i="6" s="1"/>
  <c r="D63" i="6"/>
  <c r="D64" i="6" s="1"/>
  <c r="E66" i="6"/>
  <c r="E68" i="6" s="1"/>
  <c r="D66" i="6"/>
  <c r="D68" i="6" s="1"/>
  <c r="H54" i="6"/>
  <c r="H56" i="6" s="1"/>
  <c r="F54" i="6"/>
  <c r="F56" i="6" s="1"/>
  <c r="C55" i="6"/>
  <c r="C54" i="6"/>
  <c r="G54" i="6"/>
  <c r="G56" i="6" s="1"/>
  <c r="J55" i="6"/>
  <c r="J56" i="6" s="1"/>
  <c r="I54" i="6"/>
  <c r="I56" i="6" s="1"/>
  <c r="G66" i="6"/>
  <c r="G68" i="6" s="1"/>
  <c r="D56" i="6"/>
  <c r="E103" i="6"/>
  <c r="E104" i="6"/>
  <c r="F64" i="6"/>
  <c r="F65" i="6"/>
  <c r="F67" i="6" s="1"/>
  <c r="J64" i="6"/>
  <c r="J65" i="6"/>
  <c r="J67" i="6" s="1"/>
  <c r="E64" i="6"/>
  <c r="E65" i="6"/>
  <c r="E67" i="6" s="1"/>
  <c r="E108" i="6"/>
  <c r="E53" i="6"/>
  <c r="E55" i="6" s="1"/>
  <c r="C66" i="6"/>
  <c r="C68" i="6" s="1"/>
  <c r="F103" i="6"/>
  <c r="F110" i="6"/>
  <c r="F111" i="6" s="1"/>
  <c r="C57" i="6"/>
  <c r="C58" i="6" s="1"/>
  <c r="C64" i="6" l="1"/>
  <c r="D65" i="6"/>
  <c r="D67" i="6" s="1"/>
  <c r="C71" i="6"/>
  <c r="F71" i="6" s="1"/>
  <c r="E105" i="6"/>
  <c r="G64" i="6"/>
  <c r="G65" i="6"/>
  <c r="G67" i="6" s="1"/>
  <c r="E110" i="6"/>
  <c r="E111" i="6" s="1"/>
  <c r="E54" i="6"/>
  <c r="F105" i="6"/>
  <c r="C56" i="6"/>
  <c r="E56" i="6" l="1"/>
</calcChain>
</file>

<file path=xl/sharedStrings.xml><?xml version="1.0" encoding="utf-8"?>
<sst xmlns="http://schemas.openxmlformats.org/spreadsheetml/2006/main" count="1515" uniqueCount="361">
  <si>
    <t>% Cars</t>
  </si>
  <si>
    <t>Volumes</t>
  </si>
  <si>
    <t>Left</t>
  </si>
  <si>
    <t>Through</t>
  </si>
  <si>
    <t>Right</t>
  </si>
  <si>
    <t>PHF</t>
  </si>
  <si>
    <t>Vehicle Type</t>
  </si>
  <si>
    <t>PCE</t>
  </si>
  <si>
    <t>Car</t>
  </si>
  <si>
    <t>Urban</t>
  </si>
  <si>
    <t>95th % Queue (veh)</t>
  </si>
  <si>
    <t>Is the proposed intersection located within a coordinated signal network?</t>
  </si>
  <si>
    <t>General &amp; Site Information</t>
  </si>
  <si>
    <t>Analyst:</t>
  </si>
  <si>
    <t>Agency/Company:</t>
  </si>
  <si>
    <t>Date:</t>
  </si>
  <si>
    <t>Project Name:</t>
  </si>
  <si>
    <t>Intersection:</t>
  </si>
  <si>
    <t>Analysis Time Period:</t>
  </si>
  <si>
    <t>Jurisdiction:</t>
  </si>
  <si>
    <t>Year:</t>
  </si>
  <si>
    <t xml:space="preserve">Right </t>
  </si>
  <si>
    <t xml:space="preserve">Left </t>
  </si>
  <si>
    <t>TL</t>
  </si>
  <si>
    <t>LL</t>
  </si>
  <si>
    <t>UTURN</t>
  </si>
  <si>
    <t>RR</t>
  </si>
  <si>
    <t>TR</t>
  </si>
  <si>
    <t>N</t>
  </si>
  <si>
    <t>NE</t>
  </si>
  <si>
    <t>E</t>
  </si>
  <si>
    <t>SE</t>
  </si>
  <si>
    <t>S</t>
  </si>
  <si>
    <t>SW</t>
  </si>
  <si>
    <t>W</t>
  </si>
  <si>
    <t>NW</t>
  </si>
  <si>
    <t>IN</t>
  </si>
  <si>
    <t>N,  vph</t>
  </si>
  <si>
    <t>NE,  vph</t>
  </si>
  <si>
    <t>E,  vph</t>
  </si>
  <si>
    <t>SE,  vph</t>
  </si>
  <si>
    <t>S,  vph</t>
  </si>
  <si>
    <t>SW,  vph</t>
  </si>
  <si>
    <t>W,  vph</t>
  </si>
  <si>
    <t>NW,  vph</t>
  </si>
  <si>
    <t>Total Vehicles</t>
  </si>
  <si>
    <t>Metric</t>
  </si>
  <si>
    <t>D</t>
  </si>
  <si>
    <t>N (1)</t>
  </si>
  <si>
    <t>NE (2)</t>
  </si>
  <si>
    <t>E (3)</t>
  </si>
  <si>
    <t>SE (4)</t>
  </si>
  <si>
    <t>S (5)</t>
  </si>
  <si>
    <t>SW (6)</t>
  </si>
  <si>
    <t>W (7)</t>
  </si>
  <si>
    <t>NW (8)</t>
  </si>
  <si>
    <t>φ</t>
  </si>
  <si>
    <t>v</t>
  </si>
  <si>
    <t>e</t>
  </si>
  <si>
    <t>SE (4), vph</t>
  </si>
  <si>
    <t>l'</t>
  </si>
  <si>
    <t>S (5), vph</t>
  </si>
  <si>
    <t>SW (6), vph</t>
  </si>
  <si>
    <t>W (7), vph</t>
  </si>
  <si>
    <t>NW (8), vph</t>
  </si>
  <si>
    <t>Output        Total Vehicles</t>
  </si>
  <si>
    <t>F</t>
  </si>
  <si>
    <t>Volume Characteristics</t>
  </si>
  <si>
    <t xml:space="preserve">W </t>
  </si>
  <si>
    <r>
      <t>F</t>
    </r>
    <r>
      <rPr>
        <vertAlign val="subscript"/>
        <sz val="10"/>
        <rFont val="Arial"/>
        <family val="2"/>
      </rPr>
      <t>HV</t>
    </r>
  </si>
  <si>
    <t>Entry/Conflicting Flows</t>
  </si>
  <si>
    <t>Flow to Leg #  N (1), pcu/h</t>
  </si>
  <si>
    <t>NE (2), pcu/h</t>
  </si>
  <si>
    <t>E (3), pcu/h</t>
  </si>
  <si>
    <t>SE (4), pcu/h</t>
  </si>
  <si>
    <t>S (5), pcu/h</t>
  </si>
  <si>
    <t>SW (6), pcu/h</t>
  </si>
  <si>
    <t>W (7), pcu/h</t>
  </si>
  <si>
    <t>NW (8), pcu/h</t>
  </si>
  <si>
    <t>Entry flow, pcu/h</t>
  </si>
  <si>
    <t>Conflicting flow, pcu/h</t>
  </si>
  <si>
    <t>Results</t>
  </si>
  <si>
    <t>Entry Capacity, pcu/h</t>
  </si>
  <si>
    <t>LOS lookup table</t>
  </si>
  <si>
    <t>Delay (s)</t>
  </si>
  <si>
    <t>LOS</t>
  </si>
  <si>
    <t>A</t>
  </si>
  <si>
    <t>B</t>
  </si>
  <si>
    <t>C</t>
  </si>
  <si>
    <t>k</t>
  </si>
  <si>
    <t>English</t>
  </si>
  <si>
    <t xml:space="preserve">FHWA Method Calculation - Single Lane </t>
  </si>
  <si>
    <t>% Bicycle</t>
  </si>
  <si>
    <t>Single Lane</t>
  </si>
  <si>
    <t>Roundabout Type</t>
  </si>
  <si>
    <t>inscribed circle diameter</t>
  </si>
  <si>
    <t>entry radius</t>
  </si>
  <si>
    <t>entry angle</t>
  </si>
  <si>
    <t>approach half width</t>
  </si>
  <si>
    <t>entry width</t>
  </si>
  <si>
    <t>effective flare length</t>
  </si>
  <si>
    <t>N1 (1)</t>
  </si>
  <si>
    <t>N2 (1)</t>
  </si>
  <si>
    <t>NE1 (2)</t>
  </si>
  <si>
    <t>NE2 (2)</t>
  </si>
  <si>
    <t>E1 (3)</t>
  </si>
  <si>
    <t>E2 (3)</t>
  </si>
  <si>
    <t>SE1 (4)</t>
  </si>
  <si>
    <t>SE2 (4)</t>
  </si>
  <si>
    <t>E (3), vph</t>
  </si>
  <si>
    <t>Entry Volume, vph</t>
  </si>
  <si>
    <t>S1 (5)</t>
  </si>
  <si>
    <t>S2 (5)</t>
  </si>
  <si>
    <t>SW1 (6)</t>
  </si>
  <si>
    <t>SW2 (6)</t>
  </si>
  <si>
    <t>W1 (7)</t>
  </si>
  <si>
    <t>W2 (7)</t>
  </si>
  <si>
    <t>NW1 (8)</t>
  </si>
  <si>
    <t>NW2 (8)</t>
  </si>
  <si>
    <t>N (1), vph</t>
  </si>
  <si>
    <t>NE (2), vph</t>
  </si>
  <si>
    <t>Critical Lane Volumes</t>
  </si>
  <si>
    <r>
      <t>F</t>
    </r>
    <r>
      <rPr>
        <vertAlign val="subscript"/>
        <sz val="10"/>
        <rFont val="Arial"/>
        <family val="2"/>
      </rPr>
      <t>hv</t>
    </r>
  </si>
  <si>
    <t>Flow to             N (1), pcu/h</t>
  </si>
  <si>
    <t xml:space="preserve"> Leg #             NE (2), pcu/h</t>
  </si>
  <si>
    <t>Geometric Variations</t>
  </si>
  <si>
    <t>Sum of inner circulatory flow lane to exit leg (leg bypass merges into)</t>
  </si>
  <si>
    <t>Sum of outer circulatory flow lane to exit leg (leg bypass merges into)</t>
  </si>
  <si>
    <t>Entry Flow</t>
  </si>
  <si>
    <t>Conflicting Flow</t>
  </si>
  <si>
    <t>Enter type here…</t>
  </si>
  <si>
    <t>Bicycle or motorcycle</t>
  </si>
  <si>
    <t>% Bicycles</t>
  </si>
  <si>
    <t>95th Percentile Queue  veh</t>
  </si>
  <si>
    <t>Roundabout Analysis Tool</t>
  </si>
  <si>
    <t>Major Street</t>
  </si>
  <si>
    <t>Minor Street</t>
  </si>
  <si>
    <t>Split</t>
  </si>
  <si>
    <t>95th % Queue (ft)</t>
  </si>
  <si>
    <t>Worksheet Instructions</t>
  </si>
  <si>
    <t>Project Name or PI#:</t>
  </si>
  <si>
    <t>Enter the Major/Minor Street ADT Volumes in the Chart below:</t>
  </si>
  <si>
    <t>Proximity to Other Intersections</t>
  </si>
  <si>
    <t>Volume Information (for Analysis Time Period)</t>
  </si>
  <si>
    <t>County/District:</t>
  </si>
  <si>
    <t>Bypass Lanes</t>
  </si>
  <si>
    <t>Single Lane Calculator Notes</t>
  </si>
  <si>
    <t>Equivelency Factor Table</t>
  </si>
  <si>
    <t>Default Car Length (ft)</t>
  </si>
  <si>
    <t>Notes:</t>
  </si>
  <si>
    <t>95th Percentile Queue (veh)</t>
  </si>
  <si>
    <t>Roundabout Volume Placement Map</t>
  </si>
  <si>
    <t>Entry Legs (FROM)</t>
  </si>
  <si>
    <t xml:space="preserve">   N (1), vph</t>
  </si>
  <si>
    <r>
      <rPr>
        <b/>
        <sz val="11"/>
        <color theme="1"/>
        <rFont val="Calibri"/>
        <family val="2"/>
        <scheme val="minor"/>
      </rPr>
      <t xml:space="preserve">Exit  </t>
    </r>
    <r>
      <rPr>
        <sz val="11"/>
        <color theme="1"/>
        <rFont val="Calibri"/>
        <family val="2"/>
        <scheme val="minor"/>
      </rPr>
      <t xml:space="preserve">             NE (2), vph</t>
    </r>
  </si>
  <si>
    <r>
      <rPr>
        <b/>
        <sz val="11"/>
        <color theme="1"/>
        <rFont val="Calibri"/>
        <family val="2"/>
        <scheme val="minor"/>
      </rPr>
      <t>Legs</t>
    </r>
    <r>
      <rPr>
        <sz val="11"/>
        <color theme="1"/>
        <rFont val="Calibri"/>
        <family val="2"/>
        <scheme val="minor"/>
      </rPr>
      <t xml:space="preserve">                 E (3), vph</t>
    </r>
  </si>
  <si>
    <r>
      <rPr>
        <b/>
        <sz val="11"/>
        <color theme="1"/>
        <rFont val="Calibri"/>
        <family val="2"/>
        <scheme val="minor"/>
      </rPr>
      <t>(TO)</t>
    </r>
    <r>
      <rPr>
        <sz val="11"/>
        <color theme="1"/>
        <rFont val="Calibri"/>
        <family val="2"/>
        <scheme val="minor"/>
      </rPr>
      <t xml:space="preserve">               SE (4), vph</t>
    </r>
  </si>
  <si>
    <t>Multi-Lane</t>
  </si>
  <si>
    <t>% traffic on Major Road</t>
  </si>
  <si>
    <t># of circulatory lanes</t>
  </si>
  <si>
    <t>Volumes (ADT)</t>
  </si>
  <si>
    <t>ADTs (current/ build year)</t>
  </si>
  <si>
    <t>Roundabout Considerations Worksheet</t>
  </si>
  <si>
    <t>Intersection ADT</t>
  </si>
  <si>
    <t>How close is the nearest signal (miles or feet)?</t>
  </si>
  <si>
    <t xml:space="preserve">               N (1), vph</t>
  </si>
  <si>
    <r>
      <rPr>
        <b/>
        <sz val="11"/>
        <color theme="1"/>
        <rFont val="Calibri"/>
        <family val="2"/>
        <scheme val="minor"/>
      </rPr>
      <t>(TO)</t>
    </r>
    <r>
      <rPr>
        <sz val="11"/>
        <color theme="1"/>
        <rFont val="Calibri"/>
        <family val="2"/>
        <scheme val="minor"/>
      </rPr>
      <t xml:space="preserve">                   SE (4), vph</t>
    </r>
  </si>
  <si>
    <r>
      <rPr>
        <b/>
        <sz val="11"/>
        <color theme="1"/>
        <rFont val="Calibri"/>
        <family val="2"/>
        <scheme val="minor"/>
      </rPr>
      <t>Legs</t>
    </r>
    <r>
      <rPr>
        <sz val="11"/>
        <color theme="1"/>
        <rFont val="Calibri"/>
        <family val="2"/>
        <scheme val="minor"/>
      </rPr>
      <t xml:space="preserve">                      E (3), vph</t>
    </r>
  </si>
  <si>
    <r>
      <rPr>
        <b/>
        <sz val="11"/>
        <color theme="1"/>
        <rFont val="Calibri"/>
        <family val="2"/>
        <scheme val="minor"/>
      </rPr>
      <t>Exit</t>
    </r>
    <r>
      <rPr>
        <sz val="11"/>
        <color theme="1"/>
        <rFont val="Calibri"/>
        <family val="2"/>
        <scheme val="minor"/>
      </rPr>
      <t xml:space="preserve">                   NE (2), vph</t>
    </r>
  </si>
  <si>
    <t>Total volumes</t>
  </si>
  <si>
    <t>Reference Calculations</t>
  </si>
  <si>
    <t>Right Turn Volume removed from Entry Leg</t>
  </si>
  <si>
    <t>Bypass #1</t>
  </si>
  <si>
    <t>Select Exit Leg for Bypass (TO)</t>
  </si>
  <si>
    <t>Bypass Characteristics</t>
  </si>
  <si>
    <t>Volume Characteristics (for entry leg)</t>
  </si>
  <si>
    <t>Bypass #2</t>
  </si>
  <si>
    <t>Bypass #3</t>
  </si>
  <si>
    <t>Bypass #4</t>
  </si>
  <si>
    <t>Bypass #5</t>
  </si>
  <si>
    <t>LOS (signalized)</t>
  </si>
  <si>
    <t>LOS (Unsignalized)</t>
  </si>
  <si>
    <t>LOS (Signalized)</t>
  </si>
  <si>
    <t>Select Entry Leg from Bypass (FROM)</t>
  </si>
  <si>
    <t>Exit Leg Volume Lookup table (critical lane)</t>
  </si>
  <si>
    <r>
      <rPr>
        <sz val="11"/>
        <color theme="1"/>
        <rFont val="Calibri"/>
        <family val="2"/>
        <scheme val="minor"/>
      </rPr>
      <t>LOS</t>
    </r>
    <r>
      <rPr>
        <sz val="10"/>
        <color theme="1"/>
        <rFont val="Calibri"/>
        <family val="2"/>
        <scheme val="minor"/>
      </rPr>
      <t xml:space="preserve"> (unsignalized)</t>
    </r>
  </si>
  <si>
    <t>Critical Lane Exit Lookup Table</t>
  </si>
  <si>
    <t>Total Output</t>
  </si>
  <si>
    <t>Bypass #6</t>
  </si>
  <si>
    <t>Manual</t>
  </si>
  <si>
    <t>Default</t>
  </si>
  <si>
    <t>Conflicting Critical Flow</t>
  </si>
  <si>
    <t>Sum Crit.</t>
  </si>
  <si>
    <t>Default Value</t>
  </si>
  <si>
    <t>total*.667</t>
  </si>
  <si>
    <r>
      <t>F</t>
    </r>
    <r>
      <rPr>
        <vertAlign val="subscript"/>
        <sz val="10"/>
        <rFont val="Arial"/>
        <family val="2"/>
      </rPr>
      <t xml:space="preserve">HV </t>
    </r>
    <r>
      <rPr>
        <sz val="10"/>
        <rFont val="Arial"/>
        <family val="2"/>
      </rPr>
      <t>(Entry Leg)</t>
    </r>
  </si>
  <si>
    <t>PHF (Entry Leg)</t>
  </si>
  <si>
    <t xml:space="preserve">Volume Characteristics </t>
  </si>
  <si>
    <t>PHF (Exit Leg)***</t>
  </si>
  <si>
    <r>
      <t>F</t>
    </r>
    <r>
      <rPr>
        <vertAlign val="subscript"/>
        <sz val="10"/>
        <rFont val="Arial"/>
        <family val="2"/>
      </rPr>
      <t xml:space="preserve">HV </t>
    </r>
    <r>
      <rPr>
        <sz val="10"/>
        <rFont val="Arial"/>
        <family val="2"/>
      </rPr>
      <t>(Exit Leg)***</t>
    </r>
  </si>
  <si>
    <t>***Volume Characteristics are already taken into account for Default method ONLY.  Insert Values above if Manual method.</t>
  </si>
  <si>
    <t>Critical Lane Flow (Manual) in Exit Leg***</t>
  </si>
  <si>
    <t>Results: Approach Measures of Effectiveness</t>
  </si>
  <si>
    <t>V/C ratio</t>
  </si>
  <si>
    <t>Control Delay, sec/pcu</t>
  </si>
  <si>
    <t>Unit Legend:</t>
  </si>
  <si>
    <t>vph = vehicles per hour</t>
  </si>
  <si>
    <t>PHF = peak hour factor</t>
  </si>
  <si>
    <r>
      <t>F</t>
    </r>
    <r>
      <rPr>
        <vertAlign val="subscript"/>
        <sz val="11"/>
        <color theme="1"/>
        <rFont val="Calibri"/>
        <family val="2"/>
        <scheme val="minor"/>
      </rPr>
      <t>HV</t>
    </r>
    <r>
      <rPr>
        <sz val="11"/>
        <color theme="1"/>
        <rFont val="Calibri"/>
        <family val="2"/>
        <scheme val="minor"/>
      </rPr>
      <t xml:space="preserve"> = heavy vehicle factor</t>
    </r>
  </si>
  <si>
    <t>pcu = passenger car unit</t>
  </si>
  <si>
    <t>LOS / LOS* (sig)</t>
  </si>
  <si>
    <t>NOTE:  Volume Characteristics for Exit Leg are already taken into account</t>
  </si>
  <si>
    <t>LOS / LOS* (mod)</t>
  </si>
  <si>
    <r>
      <t xml:space="preserve">Exit Leg:    </t>
    </r>
    <r>
      <rPr>
        <b/>
        <i/>
        <sz val="11"/>
        <color theme="1"/>
        <rFont val="Calibri"/>
        <family val="2"/>
        <scheme val="minor"/>
      </rPr>
      <t>(Select Input Method)</t>
    </r>
  </si>
  <si>
    <t>Entry Leg:  Insert Right Turn Volume</t>
  </si>
  <si>
    <t>Entry Volume*, vph</t>
  </si>
  <si>
    <t xml:space="preserve">     Bypass Lane Merge Point Analysis (if applicable)</t>
  </si>
  <si>
    <t>Street Name:</t>
  </si>
  <si>
    <t>Name of Streets:</t>
  </si>
  <si>
    <t>North Leg (1)</t>
  </si>
  <si>
    <t>East Leg (3)</t>
  </si>
  <si>
    <t>NE Leg (2)</t>
  </si>
  <si>
    <t>SE Leg (4)</t>
  </si>
  <si>
    <t>SW Leg (6)</t>
  </si>
  <si>
    <t>South Leg (5)</t>
  </si>
  <si>
    <t>West Leg (7)</t>
  </si>
  <si>
    <t>NW Leg (8)</t>
  </si>
  <si>
    <t>Preliminary Roundabout Rendering**</t>
  </si>
  <si>
    <t>Entry Lane Config</t>
  </si>
  <si>
    <t>Left only</t>
  </si>
  <si>
    <t>Thru-Left</t>
  </si>
  <si>
    <t>Thru</t>
  </si>
  <si>
    <t>Thru-Right</t>
  </si>
  <si>
    <t>All</t>
  </si>
  <si>
    <t>Right only</t>
  </si>
  <si>
    <t>Bypass to Adj Leg?</t>
  </si>
  <si>
    <t># of Approaches:</t>
  </si>
  <si>
    <t>Additional Legs</t>
  </si>
  <si>
    <t>Yes</t>
  </si>
  <si>
    <t>No</t>
  </si>
  <si>
    <t xml:space="preserve">Roundabout Type: </t>
  </si>
  <si>
    <t>Approach Leg Characteristics:</t>
  </si>
  <si>
    <t>Roundabout Characteristics</t>
  </si>
  <si>
    <t>Year, Peak Period:</t>
  </si>
  <si>
    <t xml:space="preserve"> </t>
  </si>
  <si>
    <t>Street Name</t>
  </si>
  <si>
    <t>Approach Leg</t>
  </si>
  <si>
    <t>Bypass?</t>
  </si>
  <si>
    <t>Multi-lane</t>
  </si>
  <si>
    <t>Inner Ln</t>
  </si>
  <si>
    <t>Outer Ln</t>
  </si>
  <si>
    <t>Chart Key:</t>
  </si>
  <si>
    <t>Year, Peak Hour:</t>
  </si>
  <si>
    <r>
      <t xml:space="preserve">Street Legend </t>
    </r>
    <r>
      <rPr>
        <i/>
        <u/>
        <sz val="9"/>
        <color theme="1"/>
        <rFont val="Calibri"/>
        <family val="2"/>
        <scheme val="minor"/>
      </rPr>
      <t>(from Roundabout Characteristics)</t>
    </r>
  </si>
  <si>
    <r>
      <t xml:space="preserve">Street Legend </t>
    </r>
    <r>
      <rPr>
        <i/>
        <u/>
        <sz val="8"/>
        <color theme="1"/>
        <rFont val="Calibri"/>
        <family val="2"/>
        <scheme val="minor"/>
      </rPr>
      <t>(from Roundabout Characteristics)</t>
    </r>
  </si>
  <si>
    <t xml:space="preserve">  </t>
  </si>
  <si>
    <t>Multi-Lane Calculator Notes</t>
  </si>
  <si>
    <r>
      <t>r</t>
    </r>
    <r>
      <rPr>
        <vertAlign val="subscript"/>
        <sz val="10"/>
        <color theme="0" tint="-0.249977111117893"/>
        <rFont val="Arial"/>
        <family val="2"/>
      </rPr>
      <t>e</t>
    </r>
  </si>
  <si>
    <r>
      <t>t</t>
    </r>
    <r>
      <rPr>
        <vertAlign val="subscript"/>
        <sz val="10"/>
        <color theme="0" tint="-0.249977111117893"/>
        <rFont val="Arial"/>
        <family val="2"/>
      </rPr>
      <t>D</t>
    </r>
  </si>
  <si>
    <r>
      <t>x</t>
    </r>
    <r>
      <rPr>
        <vertAlign val="subscript"/>
        <sz val="10"/>
        <color theme="0" tint="-0.249977111117893"/>
        <rFont val="Arial"/>
        <family val="2"/>
      </rPr>
      <t>2</t>
    </r>
  </si>
  <si>
    <r>
      <t>f</t>
    </r>
    <r>
      <rPr>
        <vertAlign val="subscript"/>
        <sz val="10"/>
        <color theme="0" tint="-0.249977111117893"/>
        <rFont val="Arial"/>
        <family val="2"/>
      </rPr>
      <t>c</t>
    </r>
  </si>
  <si>
    <t>Standard Single Lane</t>
  </si>
  <si>
    <t>Standard Single Lane or Urban Compact</t>
  </si>
  <si>
    <t>UK Model**</t>
  </si>
  <si>
    <t>less than 90%</t>
  </si>
  <si>
    <t>less than 25,000</t>
  </si>
  <si>
    <t>less than 45,000</t>
  </si>
  <si>
    <t>Volumes on Exit Leg</t>
  </si>
  <si>
    <t>% Heavy Vehicles</t>
  </si>
  <si>
    <r>
      <t>F</t>
    </r>
    <r>
      <rPr>
        <vertAlign val="subscript"/>
        <sz val="10"/>
        <rFont val="Arial"/>
        <family val="2"/>
      </rPr>
      <t>ped</t>
    </r>
  </si>
  <si>
    <t>Heavy Vehicles</t>
  </si>
  <si>
    <r>
      <t xml:space="preserve"># of Pedestrians </t>
    </r>
    <r>
      <rPr>
        <b/>
        <sz val="10"/>
        <color theme="1"/>
        <rFont val="Calibri"/>
        <family val="2"/>
        <scheme val="minor"/>
      </rPr>
      <t>(ped/hr)</t>
    </r>
  </si>
  <si>
    <t>Entry Flow Rates, veh/h</t>
  </si>
  <si>
    <t>HCM 2010 Model</t>
  </si>
  <si>
    <t>Bypass Lane Results (HCM 2010 Model)</t>
  </si>
  <si>
    <t>Capacity at bypass mergepoint, veh/h</t>
  </si>
  <si>
    <t>Entry Capacity, veh/h</t>
  </si>
  <si>
    <t>Lane Designation</t>
  </si>
  <si>
    <t>No Lane</t>
  </si>
  <si>
    <t>SELECT</t>
  </si>
  <si>
    <t># of Entry Flow Lanes</t>
  </si>
  <si>
    <t># of Conflict Flow Lanes</t>
  </si>
  <si>
    <t>Lf-Th-Rt</t>
  </si>
  <si>
    <t>Left Only</t>
  </si>
  <si>
    <t>Left-Thru</t>
  </si>
  <si>
    <t>Right-Thru</t>
  </si>
  <si>
    <t>Entry flow Lane 1, pcu/h</t>
  </si>
  <si>
    <t>Entry flow Lane 2, pcu/h</t>
  </si>
  <si>
    <t># of Conflicting Exit Flow Lanes</t>
  </si>
  <si>
    <t>Cars</t>
  </si>
  <si>
    <t>Bicycles</t>
  </si>
  <si>
    <t xml:space="preserve">Bypass Lane Results </t>
  </si>
  <si>
    <t>Entry Capacity of Bypass, veh/h</t>
  </si>
  <si>
    <t>Flow Rates of Exiting Traffic, veh/h</t>
  </si>
  <si>
    <t>Entry Flow, pcu/hr</t>
  </si>
  <si>
    <t>Conflicting Flow, pcu/hr</t>
  </si>
  <si>
    <t>HCM</t>
  </si>
  <si>
    <t>Lane Flow in Exit Leg***</t>
  </si>
  <si>
    <t>North Leg (Southbound)</t>
  </si>
  <si>
    <t>East Leg (Westbound)</t>
  </si>
  <si>
    <t>South Leg (Northbound)</t>
  </si>
  <si>
    <t>West Leg (Eastbound)</t>
  </si>
  <si>
    <t>Left Lane</t>
  </si>
  <si>
    <t>Right Lane</t>
  </si>
  <si>
    <t>LT-TR</t>
  </si>
  <si>
    <t>L-LTR</t>
  </si>
  <si>
    <t>LTR-R</t>
  </si>
  <si>
    <t>L-TR</t>
  </si>
  <si>
    <t>LT-R</t>
  </si>
  <si>
    <t>Approach Delay</t>
  </si>
  <si>
    <t>Approach LOS</t>
  </si>
  <si>
    <t>Control Delay, s/veh</t>
  </si>
  <si>
    <t>Lane Designations</t>
  </si>
  <si>
    <t>Does the bypass have a dedicated receiving lane?</t>
  </si>
  <si>
    <t>Bypass Delay</t>
  </si>
  <si>
    <t>Bypass Flowrate</t>
  </si>
  <si>
    <t>Mainline Control Delay, sec/pcu</t>
  </si>
  <si>
    <t>Approach w/Bypass Delay, s/veh</t>
  </si>
  <si>
    <t>Approach w/Bypass LOS</t>
  </si>
  <si>
    <t>Left-Thru ; Right-Thru</t>
  </si>
  <si>
    <t>Left ; Left-Thru-Right</t>
  </si>
  <si>
    <t>Left-Thru-Right ; Right</t>
  </si>
  <si>
    <t>Lane 1</t>
  </si>
  <si>
    <t>Lane 2</t>
  </si>
  <si>
    <t>Lane Designation (1,2):</t>
  </si>
  <si>
    <t>Volume</t>
  </si>
  <si>
    <t>% Split</t>
  </si>
  <si>
    <t>HCM Lane Utilization Calculator</t>
  </si>
  <si>
    <t>Lane 1 (inside)</t>
  </si>
  <si>
    <t>Lane 2 (outside)</t>
  </si>
  <si>
    <t>Project or PI#:</t>
  </si>
  <si>
    <t>Approach Delay, LOS</t>
  </si>
  <si>
    <t>Agency/Co:</t>
  </si>
  <si>
    <t>Intersection Name:</t>
  </si>
  <si>
    <t>Entry Capacity, vph</t>
  </si>
  <si>
    <t>Entry Flow Rates, vph</t>
  </si>
  <si>
    <t>Entry Capacity of Bypass, vph</t>
  </si>
  <si>
    <t>Flow Rates of Exiting Traffic, vph</t>
  </si>
  <si>
    <t>Crit. Entry Capacity     pcu/h</t>
  </si>
  <si>
    <t>Entry Flow   pcu/h</t>
  </si>
  <si>
    <t xml:space="preserve">GA Calibrated Model </t>
  </si>
  <si>
    <t>California Calibrated Model</t>
  </si>
  <si>
    <t>HCM 6th Edition</t>
  </si>
  <si>
    <t>Bypass Lane Results (HCM 6th Edition)</t>
  </si>
  <si>
    <t>v 4.0</t>
  </si>
  <si>
    <t>HCM 2010 Edition</t>
  </si>
  <si>
    <t>Bypass Lane Results (HCM 2010 Edition)</t>
  </si>
  <si>
    <t>Mini</t>
  </si>
  <si>
    <t>less than 15,000</t>
  </si>
  <si>
    <t>Mini/Single Lane</t>
  </si>
  <si>
    <t>Common Items to all calculators</t>
  </si>
  <si>
    <t>Mini Roundabout Calculator Notes</t>
  </si>
  <si>
    <t>Condition met?</t>
  </si>
  <si>
    <t>v 4.2</t>
  </si>
  <si>
    <t>Average Queue (ft)</t>
  </si>
  <si>
    <t>Int Control Delay (sec)</t>
  </si>
  <si>
    <t>Average Queue (veh)</t>
  </si>
  <si>
    <t>Overall Intersection Measures of Effectiveness</t>
  </si>
  <si>
    <t>Int LOS</t>
  </si>
  <si>
    <t>Max Approach V/C</t>
  </si>
  <si>
    <t>Mainline Entry Flow Rates, vph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</si>
</sst>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numFmt numFmtId="165" formatCode="0.000"/>
    <numFmt numFmtId="166" formatCode="0.000000"/>
    <numFmt numFmtId="167" formatCode="0%&quot; /&quot;"/>
    <numFmt numFmtId="168" formatCode="General\ &quot;mi&quot;"/>
    <numFmt numFmtId="169" formatCode="General\ &quot;'&quot;"/>
    <numFmt numFmtId="170" formatCode="0.00000"/>
    <numFmt numFmtId="171" formatCode="m/d/yy;@"/>
    <numFmt numFmtId="172" formatCode="0.0%"/>
  </numFmts>
  <fonts count="69"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sz val="10"/>
      <name val="Calibri"/>
      <family val="2"/>
      <scheme val="minor"/>
    </font>
    <font>
      <sz val="8"/>
      <color theme="1"/>
      <name val="Calibri"/>
      <family val="2"/>
      <scheme val="minor"/>
    </font>
    <font>
      <sz val="7"/>
      <color theme="1"/>
      <name val="Calibri"/>
      <family val="2"/>
      <scheme val="minor"/>
    </font>
    <font>
      <sz val="9"/>
      <color theme="1"/>
      <name val="Calibri"/>
      <family val="2"/>
      <scheme val="minor"/>
    </font>
    <font>
      <sz val="10"/>
      <color theme="1"/>
      <name val="Calibri"/>
      <family val="2"/>
      <scheme val="minor"/>
    </font>
    <font>
      <b/>
      <sz val="10"/>
      <name val="Arial"/>
      <family val="2"/>
    </font>
    <font>
      <vertAlign val="subscript"/>
      <sz val="10"/>
      <name val="Arial"/>
      <family val="2"/>
    </font>
    <font>
      <sz val="9"/>
      <color theme="0" tint="-0.499984740745262"/>
      <name val="Calibri"/>
      <family val="2"/>
      <scheme val="minor"/>
    </font>
    <font>
      <sz val="11"/>
      <color theme="0" tint="-0.499984740745262"/>
      <name val="Calibri"/>
      <family val="2"/>
      <scheme val="minor"/>
    </font>
    <font>
      <sz val="8"/>
      <color theme="0" tint="-0.499984740745262"/>
      <name val="Calibri"/>
      <family val="2"/>
      <scheme val="minor"/>
    </font>
    <font>
      <sz val="7"/>
      <color theme="0" tint="-0.499984740745262"/>
      <name val="Calibri"/>
      <family val="2"/>
      <scheme val="minor"/>
    </font>
    <font>
      <sz val="8"/>
      <color theme="3" tint="0.39997558519241921"/>
      <name val="Calibri"/>
      <family val="2"/>
      <scheme val="minor"/>
    </font>
    <font>
      <sz val="9"/>
      <color theme="3" tint="0.39997558519241921"/>
      <name val="Calibri"/>
      <family val="2"/>
      <scheme val="minor"/>
    </font>
    <font>
      <u/>
      <sz val="8"/>
      <color theme="0" tint="-0.499984740745262"/>
      <name val="Calibri"/>
      <family val="2"/>
      <scheme val="minor"/>
    </font>
    <font>
      <u/>
      <sz val="11"/>
      <color theme="0" tint="-0.499984740745262"/>
      <name val="Calibri"/>
      <family val="2"/>
      <scheme val="minor"/>
    </font>
    <font>
      <u/>
      <sz val="9"/>
      <color theme="0" tint="-0.499984740745262"/>
      <name val="Calibri"/>
      <family val="2"/>
      <scheme val="minor"/>
    </font>
    <font>
      <u/>
      <sz val="9"/>
      <color theme="1"/>
      <name val="Calibri"/>
      <family val="2"/>
      <scheme val="minor"/>
    </font>
    <font>
      <u/>
      <sz val="8"/>
      <color theme="1"/>
      <name val="Calibri"/>
      <family val="2"/>
      <scheme val="minor"/>
    </font>
    <font>
      <u/>
      <sz val="11"/>
      <color theme="1"/>
      <name val="Calibri"/>
      <family val="2"/>
      <scheme val="minor"/>
    </font>
    <font>
      <i/>
      <sz val="10"/>
      <name val="Arial"/>
      <family val="2"/>
    </font>
    <font>
      <b/>
      <i/>
      <sz val="11"/>
      <color rgb="FF000000"/>
      <name val="Calibri"/>
      <family val="2"/>
      <scheme val="minor"/>
    </font>
    <font>
      <sz val="11"/>
      <color theme="1"/>
      <name val="Calibri"/>
      <family val="2"/>
      <scheme val="minor"/>
    </font>
    <font>
      <sz val="11"/>
      <color rgb="FFFF0000"/>
      <name val="Calibri"/>
      <family val="2"/>
      <scheme val="minor"/>
    </font>
    <font>
      <i/>
      <sz val="11"/>
      <color theme="1"/>
      <name val="Calibri"/>
      <family val="2"/>
      <scheme val="minor"/>
    </font>
    <font>
      <b/>
      <i/>
      <sz val="10"/>
      <name val="Arial"/>
      <family val="2"/>
    </font>
    <font>
      <b/>
      <i/>
      <sz val="11"/>
      <color theme="1"/>
      <name val="Calibri"/>
      <family val="2"/>
      <scheme val="minor"/>
    </font>
    <font>
      <b/>
      <u/>
      <sz val="11"/>
      <color theme="1"/>
      <name val="Calibri"/>
      <family val="2"/>
      <scheme val="minor"/>
    </font>
    <font>
      <b/>
      <u/>
      <sz val="10"/>
      <name val="Arial"/>
      <family val="2"/>
    </font>
    <font>
      <b/>
      <i/>
      <sz val="11"/>
      <name val="Arial"/>
      <family val="2"/>
    </font>
    <font>
      <b/>
      <i/>
      <u/>
      <sz val="14"/>
      <color theme="1"/>
      <name val="Calibri"/>
      <family val="2"/>
      <scheme val="minor"/>
    </font>
    <font>
      <b/>
      <sz val="10"/>
      <color theme="1"/>
      <name val="Calibri"/>
      <family val="2"/>
      <scheme val="minor"/>
    </font>
    <font>
      <i/>
      <u/>
      <sz val="11"/>
      <color theme="1"/>
      <name val="Calibri"/>
      <family val="2"/>
      <scheme val="minor"/>
    </font>
    <font>
      <sz val="11"/>
      <color theme="0" tint="-0.249977111117893"/>
      <name val="Calibri"/>
      <family val="2"/>
      <scheme val="minor"/>
    </font>
    <font>
      <b/>
      <i/>
      <sz val="9"/>
      <color theme="1"/>
      <name val="Calibri"/>
      <family val="2"/>
      <scheme val="minor"/>
    </font>
    <font>
      <b/>
      <sz val="10"/>
      <color theme="0" tint="-0.249977111117893"/>
      <name val="Arial"/>
      <family val="2"/>
    </font>
    <font>
      <b/>
      <sz val="11"/>
      <color theme="0" tint="-0.249977111117893"/>
      <name val="Calibri"/>
      <family val="2"/>
      <scheme val="minor"/>
    </font>
    <font>
      <vertAlign val="subscript"/>
      <sz val="11"/>
      <color theme="1"/>
      <name val="Calibri"/>
      <family val="2"/>
      <scheme val="minor"/>
    </font>
    <font>
      <b/>
      <i/>
      <sz val="11"/>
      <color rgb="FFFF0000"/>
      <name val="Calibri"/>
      <family val="2"/>
      <scheme val="minor"/>
    </font>
    <font>
      <b/>
      <sz val="11"/>
      <color rgb="FFFF0000"/>
      <name val="Calibri"/>
      <family val="2"/>
      <scheme val="minor"/>
    </font>
    <font>
      <b/>
      <i/>
      <u/>
      <sz val="11"/>
      <color theme="1"/>
      <name val="Calibri"/>
      <family val="2"/>
      <scheme val="minor"/>
    </font>
    <font>
      <i/>
      <u/>
      <sz val="9"/>
      <color theme="1"/>
      <name val="Calibri"/>
      <family val="2"/>
      <scheme val="minor"/>
    </font>
    <font>
      <i/>
      <u/>
      <sz val="8"/>
      <color theme="1"/>
      <name val="Calibri"/>
      <family val="2"/>
      <scheme val="minor"/>
    </font>
    <font>
      <sz val="11"/>
      <color theme="6" tint="0.79998168889431442"/>
      <name val="Calibri"/>
      <family val="2"/>
      <scheme val="minor"/>
    </font>
    <font>
      <b/>
      <u/>
      <sz val="12"/>
      <color theme="1"/>
      <name val="Calibri"/>
      <family val="2"/>
      <scheme val="minor"/>
    </font>
    <font>
      <sz val="11"/>
      <color theme="0" tint="-0.14999847407452621"/>
      <name val="Calibri"/>
      <family val="2"/>
      <scheme val="minor"/>
    </font>
    <font>
      <b/>
      <u/>
      <sz val="11"/>
      <name val="Arial"/>
      <family val="2"/>
    </font>
    <font>
      <sz val="10"/>
      <color theme="0" tint="-0.249977111117893"/>
      <name val="Arial"/>
      <family val="2"/>
    </font>
    <font>
      <i/>
      <sz val="10"/>
      <color theme="0" tint="-0.249977111117893"/>
      <name val="Arial"/>
      <family val="2"/>
    </font>
    <font>
      <vertAlign val="subscript"/>
      <sz val="10"/>
      <color theme="0" tint="-0.249977111117893"/>
      <name val="Arial"/>
      <family val="2"/>
    </font>
    <font>
      <sz val="10"/>
      <color theme="0" tint="-0.249977111117893"/>
      <name val="Calibri"/>
      <family val="2"/>
    </font>
    <font>
      <sz val="10"/>
      <name val="Calibri"/>
      <family val="2"/>
    </font>
    <font>
      <sz val="9"/>
      <name val="Calibri"/>
      <family val="2"/>
      <scheme val="minor"/>
    </font>
    <font>
      <i/>
      <sz val="8"/>
      <name val="Arial"/>
      <family val="2"/>
    </font>
    <font>
      <i/>
      <sz val="10"/>
      <color theme="1"/>
      <name val="Calibri"/>
      <family val="2"/>
      <scheme val="minor"/>
    </font>
    <font>
      <b/>
      <sz val="11"/>
      <color theme="0" tint="-0.499984740745262"/>
      <name val="Calibri"/>
      <family val="2"/>
      <scheme val="minor"/>
    </font>
    <font>
      <b/>
      <i/>
      <sz val="10"/>
      <color theme="1"/>
      <name val="Calibri"/>
      <family val="2"/>
      <scheme val="minor"/>
    </font>
    <font>
      <b/>
      <sz val="10"/>
      <color theme="0" tint="-0.14999847407452621"/>
      <name val="Arial"/>
      <family val="2"/>
    </font>
    <font>
      <b/>
      <sz val="8"/>
      <name val="Arial"/>
      <family val="2"/>
    </font>
    <font>
      <b/>
      <u/>
      <sz val="12"/>
      <name val="Arial"/>
      <family val="2"/>
    </font>
    <font>
      <b/>
      <sz val="12"/>
      <name val="Arial"/>
      <family val="2"/>
    </font>
    <font>
      <b/>
      <sz val="11"/>
      <name val="Arial"/>
      <family val="2"/>
    </font>
    <font>
      <b/>
      <u/>
      <sz val="18"/>
      <color rgb="FF01FF74"/>
      <name val="Calibri"/>
      <family val="2"/>
      <scheme val="minor"/>
    </font>
    <font>
      <b/>
      <sz val="18"/>
      <color rgb="FF01FF74"/>
      <name val="Calibri"/>
      <family val="2"/>
      <scheme val="minor"/>
    </font>
    <font>
      <sz val="11"/>
      <color rgb="FF01FF74"/>
      <name val="Calibri"/>
      <family val="2"/>
      <scheme val="minor"/>
    </font>
  </fonts>
  <fills count="21">
    <fill>
      <patternFill patternType="none"/>
    </fill>
    <fill>
      <patternFill patternType="gray125"/>
    </fill>
    <fill>
      <patternFill patternType="solid">
        <fgColor theme="4"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1"/>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2"/>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theme="3" tint="0.79998168889431442"/>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style="thin">
        <color indexed="64"/>
      </left>
      <right style="thin">
        <color indexed="64"/>
      </right>
      <top/>
      <bottom style="thin">
        <color indexed="64"/>
      </bottom>
      <diagonal/>
    </border>
    <border>
      <left/>
      <right style="thin">
        <color indexed="64"/>
      </right>
      <top style="medium">
        <color indexed="64"/>
      </top>
      <bottom style="double">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style="medium">
        <color indexed="64"/>
      </right>
      <top style="double">
        <color indexed="64"/>
      </top>
      <bottom/>
      <diagonal/>
    </border>
    <border>
      <left/>
      <right/>
      <top/>
      <bottom style="double">
        <color rgb="FFFFFF00"/>
      </bottom>
      <diagonal/>
    </border>
    <border>
      <left style="double">
        <color rgb="FFFFFF00"/>
      </left>
      <right/>
      <top/>
      <bottom/>
      <diagonal/>
    </border>
    <border>
      <left/>
      <right/>
      <top style="double">
        <color rgb="FFFFFF00"/>
      </top>
      <bottom style="thin">
        <color theme="0"/>
      </bottom>
      <diagonal/>
    </border>
    <border>
      <left/>
      <right/>
      <top/>
      <bottom style="thin">
        <color theme="0"/>
      </bottom>
      <diagonal/>
    </border>
    <border>
      <left style="thin">
        <color theme="0"/>
      </left>
      <right/>
      <top/>
      <bottom/>
      <diagonal/>
    </border>
    <border>
      <left/>
      <right style="thin">
        <color theme="0"/>
      </right>
      <top/>
      <bottom/>
      <diagonal/>
    </border>
    <border>
      <left style="double">
        <color rgb="FFFFFF00"/>
      </left>
      <right style="thin">
        <color theme="0"/>
      </right>
      <top/>
      <bottom/>
      <diagonal/>
    </border>
    <border diagonalDown="1">
      <left/>
      <right/>
      <top/>
      <bottom/>
      <diagonal style="thin">
        <color indexed="64"/>
      </diagonal>
    </border>
    <border>
      <left/>
      <right/>
      <top/>
      <bottom style="thin">
        <color rgb="FFFFFF00"/>
      </bottom>
      <diagonal/>
    </border>
    <border>
      <left/>
      <right/>
      <top style="thin">
        <color theme="0"/>
      </top>
      <bottom style="thin">
        <color rgb="FFFFFF00"/>
      </bottom>
      <diagonal/>
    </border>
    <border>
      <left style="thin">
        <color indexed="64"/>
      </left>
      <right style="medium">
        <color indexed="64"/>
      </right>
      <top style="thin">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double">
        <color indexed="64"/>
      </top>
      <bottom style="double">
        <color indexed="64"/>
      </bottom>
      <diagonal/>
    </border>
  </borders>
  <cellStyleXfs count="3">
    <xf numFmtId="0" fontId="0" fillId="0" borderId="0"/>
    <xf numFmtId="0" fontId="2" fillId="0" borderId="0"/>
    <xf numFmtId="9" fontId="26" fillId="0" borderId="0" applyFont="0" applyFill="0" applyBorder="0" applyAlignment="0" applyProtection="0"/>
  </cellStyleXfs>
  <cellXfs count="1109">
    <xf numFmtId="0" fontId="0" fillId="0" borderId="0" xfId="0"/>
    <xf numFmtId="0" fontId="3" fillId="2" borderId="4" xfId="1" applyFont="1" applyFill="1" applyBorder="1" applyProtection="1">
      <protection locked="0"/>
    </xf>
    <xf numFmtId="0" fontId="0" fillId="0" borderId="0" xfId="0" applyFill="1"/>
    <xf numFmtId="0" fontId="0" fillId="2" borderId="0" xfId="0" applyFill="1" applyAlignment="1">
      <alignment textRotation="90"/>
    </xf>
    <xf numFmtId="0" fontId="0" fillId="2" borderId="0" xfId="0" applyFill="1" applyAlignment="1">
      <alignment horizontal="right" textRotation="45"/>
    </xf>
    <xf numFmtId="0" fontId="0" fillId="2" borderId="0" xfId="0" applyFill="1" applyAlignment="1">
      <alignment horizontal="left" textRotation="135"/>
    </xf>
    <xf numFmtId="0" fontId="0" fillId="2" borderId="0" xfId="0" applyFill="1" applyAlignment="1">
      <alignment horizontal="right" textRotation="135"/>
    </xf>
    <xf numFmtId="0" fontId="0" fillId="0" borderId="0" xfId="0" applyAlignment="1">
      <alignment horizontal="center"/>
    </xf>
    <xf numFmtId="0" fontId="4" fillId="3" borderId="8" xfId="1" applyFont="1" applyFill="1" applyBorder="1"/>
    <xf numFmtId="0" fontId="4" fillId="3" borderId="9" xfId="1" applyFont="1" applyFill="1" applyBorder="1"/>
    <xf numFmtId="0" fontId="2" fillId="3" borderId="9" xfId="1" applyFill="1" applyBorder="1"/>
    <xf numFmtId="0" fontId="2" fillId="0" borderId="0" xfId="1" applyFill="1" applyBorder="1"/>
    <xf numFmtId="0" fontId="5" fillId="2" borderId="4" xfId="1" applyFont="1" applyFill="1" applyBorder="1" applyProtection="1">
      <protection locked="0"/>
    </xf>
    <xf numFmtId="0" fontId="5" fillId="2" borderId="0" xfId="1" applyFont="1" applyFill="1" applyBorder="1" applyProtection="1">
      <protection locked="0"/>
    </xf>
    <xf numFmtId="0" fontId="5" fillId="0" borderId="0" xfId="1" applyFont="1" applyFill="1" applyBorder="1" applyAlignment="1">
      <alignment horizontal="left"/>
    </xf>
    <xf numFmtId="0" fontId="3" fillId="0" borderId="0" xfId="1" applyFont="1" applyFill="1" applyBorder="1" applyProtection="1">
      <protection locked="0"/>
    </xf>
    <xf numFmtId="14" fontId="5" fillId="2" borderId="4" xfId="1" applyNumberFormat="1" applyFont="1" applyFill="1" applyBorder="1" applyAlignment="1" applyProtection="1">
      <alignment horizontal="left"/>
      <protection locked="0"/>
    </xf>
    <xf numFmtId="0" fontId="0" fillId="4" borderId="0" xfId="0" applyFill="1"/>
    <xf numFmtId="0" fontId="0" fillId="4" borderId="12" xfId="0" applyFill="1" applyBorder="1" applyAlignment="1"/>
    <xf numFmtId="0" fontId="0" fillId="4" borderId="0" xfId="0" applyFill="1" applyAlignment="1"/>
    <xf numFmtId="0" fontId="0" fillId="2" borderId="0" xfId="0" applyFill="1" applyAlignment="1"/>
    <xf numFmtId="0" fontId="6" fillId="5" borderId="0" xfId="0" applyFont="1" applyFill="1" applyAlignment="1"/>
    <xf numFmtId="0" fontId="7" fillId="0" borderId="0" xfId="0" applyFont="1" applyAlignment="1">
      <alignment horizontal="left" vertical="top" textRotation="255"/>
    </xf>
    <xf numFmtId="0" fontId="6" fillId="2" borderId="0" xfId="0" applyFont="1" applyFill="1" applyAlignment="1">
      <alignment horizontal="center" textRotation="90"/>
    </xf>
    <xf numFmtId="0" fontId="0" fillId="6" borderId="0" xfId="0" applyFont="1" applyFill="1" applyAlignment="1">
      <alignment horizontal="center" textRotation="90"/>
    </xf>
    <xf numFmtId="0" fontId="0" fillId="6" borderId="0" xfId="0" applyFill="1" applyAlignment="1">
      <alignment horizontal="center" textRotation="90"/>
    </xf>
    <xf numFmtId="0" fontId="8" fillId="0" borderId="0" xfId="0" applyFont="1" applyFill="1" applyAlignment="1">
      <alignment textRotation="180"/>
    </xf>
    <xf numFmtId="0" fontId="6" fillId="5" borderId="0" xfId="0" applyFont="1" applyFill="1" applyAlignment="1">
      <alignment horizontal="right" vertical="center"/>
    </xf>
    <xf numFmtId="0" fontId="6" fillId="5" borderId="0" xfId="0" applyFont="1" applyFill="1" applyAlignment="1">
      <alignment vertical="center"/>
    </xf>
    <xf numFmtId="0" fontId="6" fillId="2" borderId="0" xfId="0" applyFont="1" applyFill="1" applyAlignment="1">
      <alignment horizontal="center" textRotation="180"/>
    </xf>
    <xf numFmtId="0" fontId="6" fillId="2" borderId="0" xfId="0" applyFont="1" applyFill="1" applyAlignment="1">
      <alignment horizontal="left" textRotation="180"/>
    </xf>
    <xf numFmtId="0" fontId="8" fillId="0" borderId="0" xfId="0" applyFont="1" applyFill="1" applyAlignment="1">
      <alignment horizontal="center" textRotation="90"/>
    </xf>
    <xf numFmtId="0" fontId="6" fillId="0" borderId="0" xfId="0" applyFont="1" applyAlignment="1">
      <alignment vertical="center"/>
    </xf>
    <xf numFmtId="0" fontId="0" fillId="2" borderId="0" xfId="0" applyFill="1" applyAlignment="1">
      <alignment horizontal="right" vertical="top"/>
    </xf>
    <xf numFmtId="0" fontId="8" fillId="0" borderId="0" xfId="0" applyFont="1" applyFill="1" applyAlignment="1">
      <alignment horizontal="right" vertical="top"/>
    </xf>
    <xf numFmtId="0" fontId="8" fillId="0" borderId="0" xfId="0" applyFont="1" applyFill="1" applyAlignment="1">
      <alignment vertical="top"/>
    </xf>
    <xf numFmtId="0" fontId="6" fillId="0" borderId="0" xfId="0" applyFont="1" applyAlignment="1">
      <alignment horizontal="right" vertical="center"/>
    </xf>
    <xf numFmtId="0" fontId="6" fillId="0" borderId="0" xfId="0" applyFont="1" applyFill="1" applyAlignment="1">
      <alignment vertical="center"/>
    </xf>
    <xf numFmtId="0" fontId="6" fillId="2" borderId="0" xfId="0" applyFont="1" applyFill="1" applyAlignment="1">
      <alignment horizontal="right" vertical="center"/>
    </xf>
    <xf numFmtId="0" fontId="6" fillId="2" borderId="0" xfId="0" applyFont="1" applyFill="1" applyAlignment="1">
      <alignment vertical="center"/>
    </xf>
    <xf numFmtId="0" fontId="6" fillId="2" borderId="1" xfId="0" applyFont="1" applyFill="1" applyBorder="1" applyAlignment="1">
      <alignment horizontal="left" vertical="center"/>
    </xf>
    <xf numFmtId="0" fontId="0" fillId="6" borderId="0" xfId="0" applyFill="1" applyAlignment="1">
      <alignment horizontal="right"/>
    </xf>
    <xf numFmtId="0" fontId="0" fillId="7" borderId="0" xfId="0" applyFill="1" applyAlignment="1">
      <alignment horizontal="right"/>
    </xf>
    <xf numFmtId="0" fontId="0" fillId="6" borderId="1" xfId="0" applyFill="1" applyBorder="1" applyAlignment="1">
      <alignment horizontal="left"/>
    </xf>
    <xf numFmtId="0" fontId="0" fillId="6" borderId="0" xfId="0" applyFill="1"/>
    <xf numFmtId="0" fontId="6" fillId="2" borderId="0" xfId="0" applyFont="1" applyFill="1"/>
    <xf numFmtId="0" fontId="8" fillId="0" borderId="0" xfId="0" applyFont="1" applyFill="1"/>
    <xf numFmtId="0" fontId="6" fillId="0" borderId="0" xfId="0" applyFont="1" applyFill="1" applyBorder="1" applyAlignment="1">
      <alignment horizontal="center" vertical="top" textRotation="90"/>
    </xf>
    <xf numFmtId="0" fontId="7" fillId="0" borderId="0" xfId="0" applyFont="1" applyAlignment="1">
      <alignment horizontal="right" vertical="top" textRotation="255"/>
    </xf>
    <xf numFmtId="0" fontId="0" fillId="6" borderId="0" xfId="0" applyFill="1" applyAlignment="1">
      <alignment horizontal="center" vertical="top" textRotation="90"/>
    </xf>
    <xf numFmtId="0" fontId="9" fillId="0" borderId="0" xfId="0" applyFont="1"/>
    <xf numFmtId="0" fontId="9" fillId="3" borderId="0" xfId="0" applyFont="1" applyFill="1"/>
    <xf numFmtId="0" fontId="0" fillId="3" borderId="0" xfId="0" applyFill="1" applyAlignment="1">
      <alignment horizontal="center"/>
    </xf>
    <xf numFmtId="0" fontId="0" fillId="0" borderId="0" xfId="0" applyAlignment="1"/>
    <xf numFmtId="0" fontId="9" fillId="0" borderId="0" xfId="0" applyFont="1" applyAlignment="1">
      <alignment horizontal="right"/>
    </xf>
    <xf numFmtId="0" fontId="6" fillId="2" borderId="1" xfId="0" applyFont="1" applyFill="1" applyBorder="1" applyAlignment="1">
      <alignment horizontal="right" vertical="center"/>
    </xf>
    <xf numFmtId="0" fontId="6" fillId="2" borderId="1" xfId="0" applyFont="1" applyFill="1" applyBorder="1"/>
    <xf numFmtId="0" fontId="6" fillId="2" borderId="13" xfId="0" applyFont="1" applyFill="1" applyBorder="1" applyAlignment="1">
      <alignment vertical="center"/>
    </xf>
    <xf numFmtId="0" fontId="6" fillId="0" borderId="0" xfId="0" applyFont="1" applyFill="1" applyBorder="1" applyAlignment="1">
      <alignment vertical="center"/>
    </xf>
    <xf numFmtId="0" fontId="6" fillId="2" borderId="7" xfId="0" applyFont="1" applyFill="1" applyBorder="1" applyAlignment="1">
      <alignment horizontal="left" vertical="top"/>
    </xf>
    <xf numFmtId="0" fontId="6" fillId="0" borderId="0" xfId="0" applyFont="1" applyFill="1" applyBorder="1" applyAlignment="1">
      <alignment horizontal="left" vertical="top"/>
    </xf>
    <xf numFmtId="0" fontId="10" fillId="0" borderId="0" xfId="0" applyFont="1"/>
    <xf numFmtId="0" fontId="0" fillId="2" borderId="13" xfId="0" applyFill="1" applyBorder="1" applyAlignment="1" applyProtection="1">
      <alignment horizontal="center"/>
      <protection locked="0"/>
    </xf>
    <xf numFmtId="0" fontId="0" fillId="2" borderId="23" xfId="0" applyFill="1" applyBorder="1" applyAlignment="1" applyProtection="1">
      <alignment horizontal="center"/>
      <protection locked="0"/>
    </xf>
    <xf numFmtId="0" fontId="0" fillId="0" borderId="29" xfId="0" applyBorder="1" applyAlignment="1">
      <alignment horizontal="left"/>
    </xf>
    <xf numFmtId="0" fontId="6" fillId="2" borderId="1" xfId="0" applyFont="1" applyFill="1" applyBorder="1" applyAlignment="1">
      <alignment horizontal="left"/>
    </xf>
    <xf numFmtId="0" fontId="12" fillId="5" borderId="0" xfId="0" applyFont="1" applyFill="1" applyAlignment="1">
      <alignment horizontal="center" textRotation="90"/>
    </xf>
    <xf numFmtId="0" fontId="13" fillId="2" borderId="0" xfId="0" applyFont="1" applyFill="1" applyAlignment="1">
      <alignment horizontal="center"/>
    </xf>
    <xf numFmtId="0" fontId="13" fillId="0" borderId="0" xfId="0" applyFont="1" applyFill="1" applyAlignment="1">
      <alignment textRotation="45"/>
    </xf>
    <xf numFmtId="0" fontId="13" fillId="2" borderId="0" xfId="0" applyFont="1" applyFill="1" applyAlignment="1">
      <alignment horizontal="right" textRotation="45"/>
    </xf>
    <xf numFmtId="0" fontId="13" fillId="2" borderId="0" xfId="0" applyFont="1" applyFill="1" applyAlignment="1">
      <alignment horizontal="left" textRotation="45"/>
    </xf>
    <xf numFmtId="0" fontId="13" fillId="0" borderId="0" xfId="0" applyFont="1"/>
    <xf numFmtId="0" fontId="14" fillId="5" borderId="0" xfId="0" applyFont="1" applyFill="1" applyAlignment="1">
      <alignment horizontal="left" vertical="center"/>
    </xf>
    <xf numFmtId="0" fontId="14" fillId="5" borderId="0" xfId="0" applyFont="1" applyFill="1" applyAlignment="1">
      <alignment vertical="center"/>
    </xf>
    <xf numFmtId="0" fontId="13" fillId="2" borderId="0" xfId="0" applyFont="1" applyFill="1" applyAlignment="1">
      <alignment horizontal="left" vertical="top"/>
    </xf>
    <xf numFmtId="0" fontId="12" fillId="0" borderId="0" xfId="0" applyFont="1" applyFill="1" applyAlignment="1">
      <alignment horizontal="left" vertical="top"/>
    </xf>
    <xf numFmtId="0" fontId="14" fillId="0" borderId="0" xfId="0" applyFont="1" applyAlignment="1">
      <alignment horizontal="left" vertical="top"/>
    </xf>
    <xf numFmtId="0" fontId="13" fillId="2" borderId="0" xfId="0" applyFont="1" applyFill="1" applyAlignment="1">
      <alignment vertical="center"/>
    </xf>
    <xf numFmtId="0" fontId="13" fillId="2" borderId="0" xfId="0" applyFont="1" applyFill="1" applyAlignment="1">
      <alignment vertical="top"/>
    </xf>
    <xf numFmtId="0" fontId="15" fillId="0" borderId="0" xfId="0" applyFont="1" applyAlignment="1">
      <alignment horizontal="right" vertical="top" textRotation="255"/>
    </xf>
    <xf numFmtId="0" fontId="14" fillId="5" borderId="0" xfId="0" applyFont="1" applyFill="1" applyAlignment="1">
      <alignment vertical="top"/>
    </xf>
    <xf numFmtId="0" fontId="14" fillId="0" borderId="0" xfId="0" applyFont="1" applyAlignment="1">
      <alignment horizontal="right"/>
    </xf>
    <xf numFmtId="0" fontId="14" fillId="0" borderId="0" xfId="0" applyFont="1" applyFill="1" applyAlignment="1"/>
    <xf numFmtId="0" fontId="14" fillId="5" borderId="0" xfId="0" applyFont="1" applyFill="1" applyAlignment="1">
      <alignment horizontal="right" vertical="center"/>
    </xf>
    <xf numFmtId="0" fontId="13" fillId="0" borderId="0" xfId="0" applyFont="1" applyAlignment="1">
      <alignment horizontal="right"/>
    </xf>
    <xf numFmtId="0" fontId="16" fillId="2" borderId="0" xfId="0" applyFont="1" applyFill="1" applyAlignment="1">
      <alignment horizontal="center" vertical="top" textRotation="90"/>
    </xf>
    <xf numFmtId="0" fontId="16" fillId="2" borderId="0" xfId="0" applyFont="1" applyFill="1" applyAlignment="1">
      <alignment vertical="center"/>
    </xf>
    <xf numFmtId="0" fontId="16" fillId="2" borderId="0" xfId="0" applyFont="1" applyFill="1" applyAlignment="1"/>
    <xf numFmtId="0" fontId="17" fillId="2" borderId="0" xfId="0" applyFont="1" applyFill="1" applyAlignment="1">
      <alignment horizontal="center" textRotation="90"/>
    </xf>
    <xf numFmtId="0" fontId="16" fillId="2" borderId="0" xfId="0" applyFont="1" applyFill="1" applyAlignment="1">
      <alignment horizontal="center" textRotation="90"/>
    </xf>
    <xf numFmtId="0" fontId="16" fillId="2" borderId="0" xfId="0" applyFont="1" applyFill="1" applyAlignment="1">
      <alignment horizontal="right" vertical="center"/>
    </xf>
    <xf numFmtId="0" fontId="16" fillId="2" borderId="0" xfId="0" applyFont="1" applyFill="1" applyAlignment="1">
      <alignment horizontal="right"/>
    </xf>
    <xf numFmtId="0" fontId="18" fillId="5" borderId="0" xfId="0" applyFont="1" applyFill="1" applyAlignment="1">
      <alignment horizontal="left" vertical="center"/>
    </xf>
    <xf numFmtId="0" fontId="19" fillId="2" borderId="0" xfId="0" applyFont="1" applyFill="1" applyAlignment="1">
      <alignment horizontal="left" vertical="top" textRotation="135"/>
    </xf>
    <xf numFmtId="0" fontId="19" fillId="5" borderId="0" xfId="0" applyFont="1" applyFill="1" applyAlignment="1">
      <alignment horizontal="left"/>
    </xf>
    <xf numFmtId="0" fontId="20" fillId="0" borderId="0" xfId="0" applyFont="1" applyFill="1" applyAlignment="1">
      <alignment horizontal="right" vertical="top" textRotation="180"/>
    </xf>
    <xf numFmtId="0" fontId="18" fillId="5" borderId="0" xfId="0" applyFont="1" applyFill="1" applyAlignment="1">
      <alignment horizontal="center" textRotation="180"/>
    </xf>
    <xf numFmtId="0" fontId="19" fillId="2" borderId="0" xfId="0" applyFont="1" applyFill="1" applyAlignment="1">
      <alignment horizontal="right" textRotation="135"/>
    </xf>
    <xf numFmtId="0" fontId="19" fillId="2" borderId="0" xfId="0" applyFont="1" applyFill="1" applyAlignment="1">
      <alignment horizontal="right" textRotation="45"/>
    </xf>
    <xf numFmtId="0" fontId="18" fillId="5" borderId="0" xfId="0" applyFont="1" applyFill="1" applyAlignment="1">
      <alignment horizontal="center" vertical="top" textRotation="90"/>
    </xf>
    <xf numFmtId="0" fontId="19" fillId="2" borderId="0" xfId="0" applyFont="1" applyFill="1" applyAlignment="1">
      <alignment horizontal="left" textRotation="45"/>
    </xf>
    <xf numFmtId="0" fontId="21" fillId="0" borderId="0" xfId="0" applyFont="1" applyFill="1" applyBorder="1" applyAlignment="1">
      <alignment vertical="top" textRotation="90"/>
    </xf>
    <xf numFmtId="0" fontId="22" fillId="2" borderId="6" xfId="0" applyFont="1" applyFill="1" applyBorder="1" applyAlignment="1">
      <alignment horizontal="center" vertical="top" textRotation="90"/>
    </xf>
    <xf numFmtId="0" fontId="23" fillId="6" borderId="1" xfId="0" applyFont="1" applyFill="1" applyBorder="1" applyAlignment="1">
      <alignment vertical="top" textRotation="90"/>
    </xf>
    <xf numFmtId="0" fontId="22" fillId="2" borderId="1" xfId="0" applyFont="1" applyFill="1" applyBorder="1" applyAlignment="1">
      <alignment horizontal="center" vertical="top" textRotation="90"/>
    </xf>
    <xf numFmtId="0" fontId="22" fillId="0" borderId="0" xfId="0" applyFont="1" applyFill="1" applyBorder="1" applyAlignment="1">
      <alignment horizontal="center" vertical="top" textRotation="90"/>
    </xf>
    <xf numFmtId="0" fontId="0" fillId="2" borderId="0" xfId="0" applyFont="1" applyFill="1" applyAlignment="1">
      <alignment horizontal="right" textRotation="135"/>
    </xf>
    <xf numFmtId="0" fontId="0" fillId="6" borderId="1" xfId="0" applyFont="1" applyFill="1" applyBorder="1" applyAlignment="1">
      <alignment horizontal="right"/>
    </xf>
    <xf numFmtId="0" fontId="0" fillId="0" borderId="0" xfId="0" applyFont="1"/>
    <xf numFmtId="0" fontId="23" fillId="2" borderId="0" xfId="0" applyFont="1" applyFill="1" applyAlignment="1">
      <alignment horizontal="right" textRotation="135"/>
    </xf>
    <xf numFmtId="0" fontId="22" fillId="5" borderId="0" xfId="0" applyFont="1" applyFill="1" applyAlignment="1">
      <alignment horizontal="center" textRotation="180"/>
    </xf>
    <xf numFmtId="0" fontId="23" fillId="2" borderId="0" xfId="0" applyFont="1" applyFill="1" applyAlignment="1">
      <alignment horizontal="left" textRotation="135"/>
    </xf>
    <xf numFmtId="0" fontId="22" fillId="5" borderId="0" xfId="0" applyFont="1" applyFill="1" applyAlignment="1">
      <alignment horizontal="left" textRotation="180"/>
    </xf>
    <xf numFmtId="0" fontId="21" fillId="0" borderId="0" xfId="0" applyFont="1" applyFill="1" applyAlignment="1">
      <alignment textRotation="180"/>
    </xf>
    <xf numFmtId="0" fontId="22" fillId="2" borderId="1" xfId="0" applyFont="1" applyFill="1" applyBorder="1" applyAlignment="1">
      <alignment horizontal="center" textRotation="90"/>
    </xf>
    <xf numFmtId="0" fontId="23" fillId="6" borderId="1" xfId="0" applyFont="1" applyFill="1" applyBorder="1" applyAlignment="1">
      <alignment textRotation="90"/>
    </xf>
    <xf numFmtId="0" fontId="22" fillId="2" borderId="5" xfId="0" applyFont="1" applyFill="1" applyBorder="1" applyAlignment="1">
      <alignment horizontal="center" textRotation="90"/>
    </xf>
    <xf numFmtId="0" fontId="22" fillId="0" borderId="0" xfId="0" applyFont="1" applyFill="1" applyBorder="1" applyAlignment="1">
      <alignment horizontal="center" textRotation="90"/>
    </xf>
    <xf numFmtId="0" fontId="23" fillId="0" borderId="0" xfId="0" applyFont="1" applyFill="1"/>
    <xf numFmtId="0" fontId="18" fillId="5" borderId="0" xfId="0" applyFont="1" applyFill="1" applyAlignment="1">
      <alignment horizontal="center" textRotation="90"/>
    </xf>
    <xf numFmtId="165" fontId="0" fillId="0" borderId="13" xfId="0" applyNumberFormat="1" applyBorder="1" applyAlignment="1">
      <alignment horizontal="center"/>
    </xf>
    <xf numFmtId="0" fontId="0" fillId="8" borderId="0" xfId="0" applyFill="1"/>
    <xf numFmtId="9" fontId="0" fillId="2" borderId="1" xfId="2" applyFont="1" applyFill="1" applyBorder="1" applyAlignment="1" applyProtection="1">
      <alignment horizontal="center"/>
      <protection locked="0"/>
    </xf>
    <xf numFmtId="0" fontId="0" fillId="9" borderId="0" xfId="0" applyFill="1"/>
    <xf numFmtId="0" fontId="10" fillId="9" borderId="0" xfId="0" applyFont="1" applyFill="1"/>
    <xf numFmtId="0" fontId="0" fillId="9" borderId="0" xfId="0" applyFill="1" applyBorder="1" applyAlignment="1">
      <alignment horizontal="right"/>
    </xf>
    <xf numFmtId="0" fontId="10" fillId="9" borderId="0" xfId="0" applyFont="1" applyFill="1" applyBorder="1"/>
    <xf numFmtId="0" fontId="2" fillId="9" borderId="0" xfId="0" applyFont="1" applyFill="1" applyBorder="1" applyAlignment="1">
      <alignment horizontal="right"/>
    </xf>
    <xf numFmtId="0" fontId="0" fillId="9" borderId="0" xfId="0" applyFill="1" applyBorder="1"/>
    <xf numFmtId="0" fontId="0" fillId="9" borderId="0" xfId="0" applyFill="1" applyBorder="1" applyAlignment="1">
      <alignment horizontal="center"/>
    </xf>
    <xf numFmtId="0" fontId="10" fillId="9" borderId="0" xfId="0" applyFont="1" applyFill="1" applyBorder="1" applyAlignment="1">
      <alignment horizontal="left"/>
    </xf>
    <xf numFmtId="0" fontId="10" fillId="9" borderId="0" xfId="0" applyFont="1" applyFill="1" applyBorder="1" applyAlignment="1">
      <alignment horizontal="center"/>
    </xf>
    <xf numFmtId="0" fontId="0" fillId="9" borderId="0" xfId="0" applyFill="1" applyBorder="1" applyAlignment="1">
      <alignment horizontal="left"/>
    </xf>
    <xf numFmtId="164" fontId="0" fillId="9" borderId="0" xfId="0" applyNumberFormat="1" applyFill="1" applyBorder="1" applyAlignment="1" applyProtection="1">
      <alignment horizontal="center"/>
      <protection locked="0"/>
    </xf>
    <xf numFmtId="165" fontId="0" fillId="9" borderId="0" xfId="0" applyNumberFormat="1" applyFill="1" applyBorder="1" applyAlignment="1">
      <alignment horizontal="center"/>
    </xf>
    <xf numFmtId="0" fontId="0" fillId="9" borderId="1" xfId="0" applyFill="1" applyBorder="1"/>
    <xf numFmtId="1" fontId="0" fillId="9" borderId="0" xfId="0" applyNumberFormat="1" applyFill="1" applyBorder="1" applyAlignment="1">
      <alignment horizontal="center"/>
    </xf>
    <xf numFmtId="2" fontId="0" fillId="9" borderId="0" xfId="0" applyNumberFormat="1" applyFill="1" applyBorder="1" applyAlignment="1">
      <alignment horizontal="center"/>
    </xf>
    <xf numFmtId="164" fontId="0" fillId="9" borderId="0" xfId="0" applyNumberFormat="1" applyFill="1" applyBorder="1" applyAlignment="1">
      <alignment horizontal="center"/>
    </xf>
    <xf numFmtId="0" fontId="0" fillId="9" borderId="1" xfId="0" applyFill="1" applyBorder="1" applyAlignment="1">
      <alignment horizontal="center"/>
    </xf>
    <xf numFmtId="0" fontId="0" fillId="9" borderId="0" xfId="0" applyFill="1" applyAlignment="1">
      <alignment horizontal="center"/>
    </xf>
    <xf numFmtId="164" fontId="0" fillId="9" borderId="0" xfId="0" applyNumberFormat="1" applyFill="1" applyAlignment="1">
      <alignment horizontal="center"/>
    </xf>
    <xf numFmtId="0" fontId="0" fillId="9" borderId="0" xfId="0" applyFill="1" applyAlignment="1">
      <alignment horizontal="left"/>
    </xf>
    <xf numFmtId="0" fontId="2" fillId="9" borderId="0" xfId="0" applyFont="1" applyFill="1" applyBorder="1"/>
    <xf numFmtId="0" fontId="10" fillId="0" borderId="44" xfId="0" applyFont="1" applyFill="1" applyBorder="1" applyAlignment="1">
      <alignment horizontal="right"/>
    </xf>
    <xf numFmtId="0" fontId="1" fillId="9" borderId="0" xfId="0" applyFont="1" applyFill="1"/>
    <xf numFmtId="1" fontId="0" fillId="9" borderId="0" xfId="0" applyNumberFormat="1" applyFill="1"/>
    <xf numFmtId="0" fontId="1" fillId="9" borderId="1" xfId="0" applyFont="1" applyFill="1" applyBorder="1" applyAlignment="1">
      <alignment horizontal="right"/>
    </xf>
    <xf numFmtId="167" fontId="0" fillId="9" borderId="0" xfId="2" applyNumberFormat="1" applyFont="1" applyFill="1"/>
    <xf numFmtId="9" fontId="0" fillId="9" borderId="0" xfId="2" applyFont="1" applyFill="1" applyAlignment="1">
      <alignment horizontal="left"/>
    </xf>
    <xf numFmtId="0" fontId="0" fillId="3" borderId="0" xfId="0" applyFill="1"/>
    <xf numFmtId="0" fontId="0" fillId="3" borderId="0" xfId="0" applyFill="1" applyBorder="1" applyAlignment="1">
      <alignment horizontal="left"/>
    </xf>
    <xf numFmtId="0" fontId="27" fillId="3" borderId="0" xfId="0" applyFont="1" applyFill="1" applyAlignment="1">
      <alignment horizontal="right"/>
    </xf>
    <xf numFmtId="0" fontId="0" fillId="3" borderId="10" xfId="0" applyFill="1" applyBorder="1" applyAlignment="1">
      <alignment horizontal="left"/>
    </xf>
    <xf numFmtId="0" fontId="31" fillId="9" borderId="0" xfId="0" applyFont="1" applyFill="1" applyBorder="1" applyAlignment="1">
      <alignment horizontal="left"/>
    </xf>
    <xf numFmtId="0" fontId="1" fillId="9" borderId="1" xfId="0" applyFont="1" applyFill="1" applyBorder="1"/>
    <xf numFmtId="0" fontId="10" fillId="0" borderId="1" xfId="0" applyFont="1" applyFill="1" applyBorder="1" applyAlignment="1">
      <alignment horizontal="right"/>
    </xf>
    <xf numFmtId="0" fontId="1" fillId="0" borderId="1" xfId="0" applyFont="1" applyFill="1" applyBorder="1"/>
    <xf numFmtId="0" fontId="10" fillId="0" borderId="1" xfId="0" applyFont="1" applyFill="1" applyBorder="1" applyAlignment="1">
      <alignment horizontal="center"/>
    </xf>
    <xf numFmtId="0" fontId="0" fillId="4" borderId="1" xfId="0" applyFill="1" applyBorder="1"/>
    <xf numFmtId="0" fontId="28" fillId="4" borderId="1" xfId="0" applyFont="1" applyFill="1" applyBorder="1"/>
    <xf numFmtId="0" fontId="0" fillId="0" borderId="3" xfId="0" applyBorder="1" applyAlignment="1">
      <alignment horizontal="left"/>
    </xf>
    <xf numFmtId="9" fontId="0" fillId="4" borderId="1" xfId="2" applyFont="1" applyFill="1" applyBorder="1" applyAlignment="1" applyProtection="1">
      <alignment horizontal="center"/>
    </xf>
    <xf numFmtId="0" fontId="35" fillId="3" borderId="0" xfId="0" applyFont="1" applyFill="1"/>
    <xf numFmtId="0" fontId="29" fillId="3" borderId="8" xfId="0" applyFont="1" applyFill="1" applyBorder="1"/>
    <xf numFmtId="0" fontId="29" fillId="3" borderId="18" xfId="0" applyFont="1" applyFill="1" applyBorder="1"/>
    <xf numFmtId="0" fontId="10" fillId="3" borderId="2" xfId="0" applyFont="1" applyFill="1" applyBorder="1"/>
    <xf numFmtId="0" fontId="10" fillId="3" borderId="33" xfId="0" applyFont="1" applyFill="1" applyBorder="1" applyAlignment="1">
      <alignment horizontal="center"/>
    </xf>
    <xf numFmtId="0" fontId="29" fillId="3" borderId="25" xfId="0" applyFont="1" applyFill="1" applyBorder="1" applyAlignment="1">
      <alignment horizontal="left"/>
    </xf>
    <xf numFmtId="0" fontId="10" fillId="3" borderId="26" xfId="0" applyFont="1" applyFill="1" applyBorder="1" applyAlignment="1">
      <alignment horizontal="left"/>
    </xf>
    <xf numFmtId="0" fontId="10" fillId="3" borderId="31" xfId="0" applyFont="1" applyFill="1" applyBorder="1" applyAlignment="1">
      <alignment horizontal="center"/>
    </xf>
    <xf numFmtId="0" fontId="10" fillId="3" borderId="30" xfId="0" applyFont="1" applyFill="1" applyBorder="1" applyAlignment="1">
      <alignment horizontal="center"/>
    </xf>
    <xf numFmtId="0" fontId="10" fillId="3" borderId="32" xfId="0" applyFont="1" applyFill="1" applyBorder="1" applyAlignment="1">
      <alignment horizontal="center"/>
    </xf>
    <xf numFmtId="0" fontId="10" fillId="3" borderId="0" xfId="0" applyFont="1" applyFill="1" applyBorder="1" applyAlignment="1">
      <alignment horizontal="center"/>
    </xf>
    <xf numFmtId="0" fontId="0" fillId="0" borderId="47" xfId="0" applyFill="1" applyBorder="1" applyAlignment="1">
      <alignment horizontal="left"/>
    </xf>
    <xf numFmtId="0" fontId="34" fillId="0" borderId="0" xfId="0" applyFont="1" applyFill="1" applyAlignment="1">
      <alignment vertical="center"/>
    </xf>
    <xf numFmtId="0" fontId="10" fillId="0" borderId="0" xfId="0" applyFont="1" applyFill="1"/>
    <xf numFmtId="0" fontId="29" fillId="0" borderId="0" xfId="0" applyFont="1" applyFill="1"/>
    <xf numFmtId="0" fontId="30" fillId="0" borderId="0" xfId="0" applyFont="1" applyFill="1"/>
    <xf numFmtId="0" fontId="0" fillId="0" borderId="0" xfId="0" applyFont="1" applyFill="1"/>
    <xf numFmtId="2" fontId="1" fillId="0" borderId="1" xfId="0" applyNumberFormat="1" applyFont="1" applyBorder="1" applyAlignment="1">
      <alignment horizontal="center"/>
    </xf>
    <xf numFmtId="1" fontId="1" fillId="0" borderId="1" xfId="0" applyNumberFormat="1" applyFont="1" applyFill="1" applyBorder="1" applyAlignment="1">
      <alignment horizontal="center"/>
    </xf>
    <xf numFmtId="2" fontId="1" fillId="0" borderId="24" xfId="0" applyNumberFormat="1" applyFont="1" applyBorder="1" applyAlignment="1">
      <alignment horizontal="center"/>
    </xf>
    <xf numFmtId="1" fontId="1" fillId="0" borderId="24" xfId="0" applyNumberFormat="1" applyFont="1" applyBorder="1" applyAlignment="1">
      <alignment horizontal="center"/>
    </xf>
    <xf numFmtId="0" fontId="0" fillId="9" borderId="0" xfId="0" applyFill="1" applyAlignment="1">
      <alignment horizontal="center" wrapText="1"/>
    </xf>
    <xf numFmtId="0" fontId="0" fillId="9" borderId="0" xfId="0" applyFill="1" applyAlignment="1">
      <alignment horizontal="center"/>
    </xf>
    <xf numFmtId="0" fontId="0" fillId="9" borderId="0" xfId="0" applyFill="1" applyBorder="1" applyAlignment="1">
      <alignment horizontal="center"/>
    </xf>
    <xf numFmtId="0" fontId="32" fillId="12" borderId="5" xfId="0" applyFont="1" applyFill="1" applyBorder="1" applyAlignment="1">
      <alignment horizontal="left"/>
    </xf>
    <xf numFmtId="0" fontId="32" fillId="12" borderId="6" xfId="0" applyFont="1" applyFill="1" applyBorder="1" applyAlignment="1">
      <alignment horizontal="left"/>
    </xf>
    <xf numFmtId="0" fontId="0" fillId="9" borderId="0" xfId="0" applyFont="1" applyFill="1"/>
    <xf numFmtId="0" fontId="23" fillId="9" borderId="0" xfId="0" applyFont="1" applyFill="1"/>
    <xf numFmtId="0" fontId="1" fillId="9" borderId="1" xfId="0" applyFont="1" applyFill="1" applyBorder="1" applyAlignment="1">
      <alignment horizontal="center"/>
    </xf>
    <xf numFmtId="0" fontId="1" fillId="9" borderId="5" xfId="0" applyFont="1" applyFill="1" applyBorder="1" applyAlignment="1">
      <alignment horizontal="right"/>
    </xf>
    <xf numFmtId="9" fontId="0" fillId="13" borderId="1" xfId="2" applyFont="1" applyFill="1" applyBorder="1" applyAlignment="1">
      <alignment horizontal="center"/>
    </xf>
    <xf numFmtId="0" fontId="1" fillId="9" borderId="0" xfId="0" applyFont="1" applyFill="1" applyBorder="1" applyAlignment="1"/>
    <xf numFmtId="3" fontId="0" fillId="9" borderId="1" xfId="0" applyNumberFormat="1" applyFill="1" applyBorder="1" applyAlignment="1">
      <alignment horizontal="center"/>
    </xf>
    <xf numFmtId="0" fontId="27" fillId="0" borderId="0" xfId="0" applyFont="1" applyFill="1"/>
    <xf numFmtId="167" fontId="0" fillId="9" borderId="0" xfId="2" applyNumberFormat="1" applyFont="1" applyFill="1" applyBorder="1"/>
    <xf numFmtId="9" fontId="0" fillId="9" borderId="0" xfId="2" applyFont="1" applyFill="1" applyBorder="1" applyAlignment="1">
      <alignment horizontal="center"/>
    </xf>
    <xf numFmtId="0" fontId="1" fillId="9" borderId="5" xfId="0" applyFont="1" applyFill="1" applyBorder="1" applyAlignment="1">
      <alignment horizontal="center" wrapText="1"/>
    </xf>
    <xf numFmtId="0" fontId="0" fillId="9" borderId="1" xfId="0" applyFill="1" applyBorder="1" applyAlignment="1">
      <alignment horizontal="right"/>
    </xf>
    <xf numFmtId="0" fontId="36" fillId="9" borderId="0" xfId="0" applyFont="1" applyFill="1"/>
    <xf numFmtId="0" fontId="36" fillId="9" borderId="0" xfId="0" applyFont="1" applyFill="1" applyBorder="1" applyAlignment="1">
      <alignment horizontal="left"/>
    </xf>
    <xf numFmtId="3" fontId="0" fillId="9" borderId="0" xfId="0" applyNumberFormat="1" applyFill="1" applyBorder="1" applyAlignment="1">
      <alignment horizontal="center"/>
    </xf>
    <xf numFmtId="1" fontId="0" fillId="9" borderId="0" xfId="0" applyNumberFormat="1" applyFill="1" applyBorder="1" applyAlignment="1">
      <alignment horizontal="left"/>
    </xf>
    <xf numFmtId="0" fontId="0" fillId="9" borderId="4" xfId="0" applyFill="1" applyBorder="1"/>
    <xf numFmtId="0" fontId="0" fillId="9" borderId="0" xfId="0" applyFill="1" applyAlignment="1">
      <alignment horizontal="right"/>
    </xf>
    <xf numFmtId="0" fontId="0" fillId="0" borderId="1" xfId="0" applyBorder="1" applyAlignment="1" applyProtection="1">
      <alignment horizontal="center"/>
    </xf>
    <xf numFmtId="0" fontId="0" fillId="0" borderId="24" xfId="0" applyBorder="1" applyAlignment="1" applyProtection="1">
      <alignment horizontal="center"/>
    </xf>
    <xf numFmtId="0" fontId="1" fillId="10" borderId="1" xfId="0" applyFont="1" applyFill="1" applyBorder="1" applyAlignment="1" applyProtection="1">
      <alignment horizontal="left"/>
      <protection locked="0"/>
    </xf>
    <xf numFmtId="0" fontId="0" fillId="10" borderId="1" xfId="0" applyFill="1" applyBorder="1" applyAlignment="1" applyProtection="1">
      <alignment horizontal="left"/>
      <protection locked="0"/>
    </xf>
    <xf numFmtId="0" fontId="0" fillId="9" borderId="0" xfId="0" applyFill="1" applyBorder="1" applyProtection="1">
      <protection locked="0"/>
    </xf>
    <xf numFmtId="0" fontId="0" fillId="0" borderId="0" xfId="0" applyFill="1" applyProtection="1">
      <protection locked="0"/>
    </xf>
    <xf numFmtId="3" fontId="0" fillId="11" borderId="1" xfId="0" applyNumberFormat="1" applyFill="1" applyBorder="1" applyAlignment="1" applyProtection="1">
      <protection locked="0"/>
    </xf>
    <xf numFmtId="168" fontId="0" fillId="11" borderId="4" xfId="0" applyNumberFormat="1" applyFill="1" applyBorder="1" applyProtection="1">
      <protection locked="0"/>
    </xf>
    <xf numFmtId="169" fontId="0" fillId="11" borderId="46" xfId="0" applyNumberFormat="1" applyFill="1" applyBorder="1" applyProtection="1">
      <protection locked="0"/>
    </xf>
    <xf numFmtId="0" fontId="0" fillId="11" borderId="4" xfId="0" applyFill="1" applyBorder="1" applyAlignment="1" applyProtection="1">
      <alignment horizontal="center"/>
      <protection locked="0"/>
    </xf>
    <xf numFmtId="1" fontId="1" fillId="0" borderId="33" xfId="0" applyNumberFormat="1" applyFont="1" applyBorder="1" applyAlignment="1">
      <alignment horizontal="center"/>
    </xf>
    <xf numFmtId="1" fontId="1" fillId="0" borderId="32" xfId="0" applyNumberFormat="1" applyFont="1" applyBorder="1" applyAlignment="1">
      <alignment horizontal="center"/>
    </xf>
    <xf numFmtId="0" fontId="0" fillId="9" borderId="0" xfId="0" applyFill="1" applyBorder="1" applyAlignment="1">
      <alignment vertical="center"/>
    </xf>
    <xf numFmtId="0" fontId="0" fillId="9" borderId="0" xfId="0" applyFill="1" applyAlignment="1">
      <alignment vertical="center"/>
    </xf>
    <xf numFmtId="0" fontId="0" fillId="9" borderId="0" xfId="0" applyFill="1" applyAlignment="1">
      <alignment horizontal="center" vertical="center"/>
    </xf>
    <xf numFmtId="164" fontId="0" fillId="9" borderId="0" xfId="0" applyNumberFormat="1" applyFill="1" applyAlignment="1">
      <alignment horizontal="center" vertical="center"/>
    </xf>
    <xf numFmtId="0" fontId="0" fillId="0" borderId="0" xfId="0" applyAlignment="1">
      <alignment vertical="center"/>
    </xf>
    <xf numFmtId="0" fontId="1" fillId="0" borderId="28" xfId="0" applyFont="1" applyBorder="1" applyAlignment="1">
      <alignment horizontal="left"/>
    </xf>
    <xf numFmtId="0" fontId="0" fillId="9" borderId="10" xfId="0" applyFill="1" applyBorder="1" applyAlignment="1">
      <alignment vertical="center"/>
    </xf>
    <xf numFmtId="0" fontId="0" fillId="0" borderId="1" xfId="0" applyFont="1" applyBorder="1" applyAlignment="1">
      <alignment horizontal="center" vertical="center"/>
    </xf>
    <xf numFmtId="0" fontId="0" fillId="9" borderId="0" xfId="0" applyFill="1" applyBorder="1" applyAlignment="1"/>
    <xf numFmtId="0" fontId="0" fillId="0" borderId="47" xfId="0" applyFont="1" applyBorder="1" applyAlignment="1">
      <alignment horizontal="left" vertical="center"/>
    </xf>
    <xf numFmtId="0" fontId="0" fillId="0" borderId="10" xfId="0" applyBorder="1" applyAlignment="1">
      <alignment horizontal="left" vertical="center"/>
    </xf>
    <xf numFmtId="0" fontId="0" fillId="0" borderId="24" xfId="0" applyFont="1" applyBorder="1" applyAlignment="1">
      <alignment horizontal="center" vertical="center"/>
    </xf>
    <xf numFmtId="0" fontId="0" fillId="0" borderId="10" xfId="0" applyFill="1" applyBorder="1" applyAlignment="1">
      <alignment horizontal="left"/>
    </xf>
    <xf numFmtId="0" fontId="24" fillId="9" borderId="0" xfId="0" applyFont="1" applyFill="1" applyBorder="1"/>
    <xf numFmtId="0" fontId="0" fillId="0" borderId="38" xfId="0" applyBorder="1"/>
    <xf numFmtId="1" fontId="0" fillId="0" borderId="0" xfId="0" applyNumberFormat="1" applyFill="1" applyBorder="1" applyAlignment="1">
      <alignment horizontal="center"/>
    </xf>
    <xf numFmtId="1" fontId="1" fillId="0" borderId="1" xfId="0" applyNumberFormat="1" applyFont="1" applyBorder="1" applyAlignment="1">
      <alignment horizontal="center"/>
    </xf>
    <xf numFmtId="0" fontId="0" fillId="9" borderId="0" xfId="0" applyFill="1" applyProtection="1">
      <protection locked="0"/>
    </xf>
    <xf numFmtId="2" fontId="1" fillId="0" borderId="0" xfId="0" applyNumberFormat="1" applyFont="1" applyBorder="1" applyAlignment="1">
      <alignment horizontal="center"/>
    </xf>
    <xf numFmtId="1" fontId="1" fillId="0" borderId="0" xfId="0" applyNumberFormat="1" applyFont="1" applyBorder="1" applyAlignment="1">
      <alignment horizontal="center"/>
    </xf>
    <xf numFmtId="0" fontId="0" fillId="0" borderId="0" xfId="0" applyFont="1" applyBorder="1" applyAlignment="1">
      <alignment horizontal="center" vertical="center"/>
    </xf>
    <xf numFmtId="0" fontId="10" fillId="3" borderId="55" xfId="0" applyFont="1" applyFill="1" applyBorder="1" applyAlignment="1">
      <alignment horizontal="center"/>
    </xf>
    <xf numFmtId="0" fontId="0" fillId="0" borderId="54" xfId="0" applyBorder="1" applyAlignment="1">
      <alignment horizontal="left"/>
    </xf>
    <xf numFmtId="0" fontId="10" fillId="3" borderId="56" xfId="0" applyFont="1" applyFill="1" applyBorder="1" applyAlignment="1">
      <alignment horizontal="center"/>
    </xf>
    <xf numFmtId="0" fontId="0" fillId="9" borderId="17" xfId="0" applyFill="1" applyBorder="1" applyProtection="1">
      <protection locked="0"/>
    </xf>
    <xf numFmtId="0" fontId="0" fillId="0" borderId="17" xfId="0" applyFill="1" applyBorder="1" applyProtection="1">
      <protection locked="0"/>
    </xf>
    <xf numFmtId="0" fontId="1" fillId="0" borderId="54" xfId="0" applyFont="1" applyBorder="1" applyAlignment="1">
      <alignment horizontal="left"/>
    </xf>
    <xf numFmtId="1" fontId="1" fillId="0" borderId="4" xfId="0" applyNumberFormat="1" applyFont="1" applyBorder="1" applyAlignment="1">
      <alignment horizontal="center"/>
    </xf>
    <xf numFmtId="1" fontId="1" fillId="0" borderId="51" xfId="0" applyNumberFormat="1" applyFont="1" applyBorder="1" applyAlignment="1">
      <alignment horizontal="center"/>
    </xf>
    <xf numFmtId="1" fontId="1" fillId="0" borderId="24" xfId="0" applyNumberFormat="1" applyFont="1" applyFill="1" applyBorder="1" applyAlignment="1">
      <alignment horizontal="center"/>
    </xf>
    <xf numFmtId="0" fontId="29" fillId="3" borderId="56" xfId="0" applyFont="1" applyFill="1" applyBorder="1" applyAlignment="1">
      <alignment horizontal="left"/>
    </xf>
    <xf numFmtId="0" fontId="0" fillId="9" borderId="4" xfId="0" applyFill="1" applyBorder="1" applyProtection="1">
      <protection locked="0"/>
    </xf>
    <xf numFmtId="0" fontId="1" fillId="2" borderId="1" xfId="0" applyFont="1" applyFill="1" applyBorder="1" applyAlignment="1" applyProtection="1">
      <alignment horizontal="center"/>
      <protection locked="0"/>
    </xf>
    <xf numFmtId="0" fontId="1" fillId="2" borderId="24" xfId="0" applyFont="1" applyFill="1" applyBorder="1" applyAlignment="1" applyProtection="1">
      <alignment horizontal="center"/>
      <protection locked="0"/>
    </xf>
    <xf numFmtId="0" fontId="39" fillId="9" borderId="0" xfId="0" applyFont="1" applyFill="1" applyBorder="1" applyAlignment="1">
      <alignment horizontal="center"/>
    </xf>
    <xf numFmtId="0" fontId="0" fillId="9" borderId="0" xfId="0" applyFill="1" applyBorder="1"/>
    <xf numFmtId="0" fontId="37" fillId="9" borderId="0" xfId="0" applyFont="1" applyFill="1"/>
    <xf numFmtId="1" fontId="37" fillId="9" borderId="0" xfId="0" applyNumberFormat="1" applyFont="1" applyFill="1"/>
    <xf numFmtId="0" fontId="0" fillId="0" borderId="0" xfId="0" applyFill="1"/>
    <xf numFmtId="0" fontId="0" fillId="9" borderId="0" xfId="0" applyFill="1"/>
    <xf numFmtId="0" fontId="0" fillId="3" borderId="0" xfId="0" applyFill="1"/>
    <xf numFmtId="0" fontId="0" fillId="9" borderId="17" xfId="0" applyFill="1" applyBorder="1"/>
    <xf numFmtId="0" fontId="0" fillId="3" borderId="0" xfId="0" applyFill="1" applyProtection="1">
      <protection locked="0"/>
    </xf>
    <xf numFmtId="0" fontId="0" fillId="3" borderId="33" xfId="0" applyFill="1" applyBorder="1"/>
    <xf numFmtId="0" fontId="0" fillId="3" borderId="33" xfId="0" applyFill="1" applyBorder="1" applyProtection="1">
      <protection locked="0"/>
    </xf>
    <xf numFmtId="0" fontId="0" fillId="3" borderId="17" xfId="0" applyFill="1" applyBorder="1"/>
    <xf numFmtId="0" fontId="0" fillId="0" borderId="0" xfId="0" applyAlignment="1">
      <alignment horizontal="left"/>
    </xf>
    <xf numFmtId="0" fontId="33" fillId="3" borderId="25" xfId="0" applyFont="1" applyFill="1" applyBorder="1" applyAlignment="1"/>
    <xf numFmtId="0" fontId="33" fillId="3" borderId="26" xfId="0" applyFont="1" applyFill="1" applyBorder="1" applyAlignment="1"/>
    <xf numFmtId="0" fontId="33" fillId="3" borderId="27" xfId="0" applyFont="1" applyFill="1" applyBorder="1" applyAlignment="1"/>
    <xf numFmtId="0" fontId="31" fillId="9" borderId="0" xfId="0" applyFont="1" applyFill="1"/>
    <xf numFmtId="0" fontId="0" fillId="14" borderId="0" xfId="0" applyFill="1"/>
    <xf numFmtId="0" fontId="0" fillId="14" borderId="0" xfId="0" applyFill="1" applyAlignment="1">
      <alignment horizontal="center"/>
    </xf>
    <xf numFmtId="0" fontId="0" fillId="14" borderId="62" xfId="0" applyFill="1" applyBorder="1"/>
    <xf numFmtId="0" fontId="0" fillId="14" borderId="62" xfId="0" applyFill="1" applyBorder="1" applyAlignment="1">
      <alignment horizontal="center"/>
    </xf>
    <xf numFmtId="0" fontId="0" fillId="14" borderId="63" xfId="0" applyFill="1" applyBorder="1"/>
    <xf numFmtId="0" fontId="0" fillId="11" borderId="4" xfId="0" applyFill="1" applyBorder="1" applyAlignment="1"/>
    <xf numFmtId="0" fontId="0" fillId="11" borderId="33" xfId="0" applyFill="1" applyBorder="1" applyAlignment="1"/>
    <xf numFmtId="0" fontId="0" fillId="9" borderId="7" xfId="0" applyFill="1" applyBorder="1"/>
    <xf numFmtId="0" fontId="43" fillId="9" borderId="0" xfId="0" applyFont="1" applyFill="1" applyAlignment="1">
      <alignment horizontal="center"/>
    </xf>
    <xf numFmtId="0" fontId="37" fillId="9" borderId="0" xfId="0" applyFont="1" applyFill="1" applyAlignment="1">
      <alignment horizontal="center"/>
    </xf>
    <xf numFmtId="0" fontId="0" fillId="9" borderId="0" xfId="0" applyFill="1" applyAlignment="1"/>
    <xf numFmtId="0" fontId="0" fillId="14" borderId="64" xfId="0" applyFill="1" applyBorder="1"/>
    <xf numFmtId="0" fontId="0" fillId="14" borderId="64" xfId="0" applyFill="1" applyBorder="1" applyAlignment="1">
      <alignment horizontal="center"/>
    </xf>
    <xf numFmtId="0" fontId="0" fillId="14" borderId="65" xfId="0" applyFill="1" applyBorder="1"/>
    <xf numFmtId="0" fontId="0" fillId="14" borderId="67" xfId="0" applyFill="1" applyBorder="1"/>
    <xf numFmtId="0" fontId="0" fillId="14" borderId="66" xfId="0" applyFill="1" applyBorder="1"/>
    <xf numFmtId="0" fontId="0" fillId="14" borderId="68" xfId="0" applyFill="1" applyBorder="1"/>
    <xf numFmtId="0" fontId="0" fillId="14" borderId="65" xfId="0" applyFill="1" applyBorder="1" applyAlignment="1">
      <alignment horizontal="center"/>
    </xf>
    <xf numFmtId="0" fontId="0" fillId="9" borderId="67" xfId="0" applyFill="1" applyBorder="1"/>
    <xf numFmtId="0" fontId="0" fillId="9" borderId="69" xfId="0" applyFill="1" applyBorder="1"/>
    <xf numFmtId="0" fontId="0" fillId="14" borderId="0" xfId="0" applyFill="1" applyBorder="1"/>
    <xf numFmtId="0" fontId="43" fillId="9" borderId="4" xfId="0" applyFont="1" applyFill="1" applyBorder="1" applyAlignment="1">
      <alignment horizontal="center"/>
    </xf>
    <xf numFmtId="0" fontId="0" fillId="9" borderId="4" xfId="0" applyFill="1" applyBorder="1" applyAlignment="1">
      <alignment horizontal="left"/>
    </xf>
    <xf numFmtId="0" fontId="0" fillId="9" borderId="70" xfId="0" applyFill="1" applyBorder="1"/>
    <xf numFmtId="0" fontId="0" fillId="9" borderId="70" xfId="0" applyFill="1" applyBorder="1" applyAlignment="1">
      <alignment horizontal="right"/>
    </xf>
    <xf numFmtId="0" fontId="0" fillId="14" borderId="71" xfId="0" applyFill="1" applyBorder="1"/>
    <xf numFmtId="0" fontId="0" fillId="9" borderId="0" xfId="0" applyNumberFormat="1" applyFont="1" applyFill="1" applyAlignment="1">
      <alignment horizontal="left"/>
    </xf>
    <xf numFmtId="0" fontId="3" fillId="9" borderId="50" xfId="0" applyFont="1" applyFill="1" applyBorder="1" applyAlignment="1">
      <alignment horizontal="center"/>
    </xf>
    <xf numFmtId="0" fontId="0" fillId="9" borderId="51" xfId="0" applyFill="1" applyBorder="1" applyAlignment="1">
      <alignment horizontal="right"/>
    </xf>
    <xf numFmtId="0" fontId="0" fillId="0" borderId="0" xfId="0" applyFill="1"/>
    <xf numFmtId="0" fontId="0" fillId="9" borderId="7" xfId="0" applyFill="1" applyBorder="1" applyAlignment="1">
      <alignment horizontal="center"/>
    </xf>
    <xf numFmtId="0" fontId="3" fillId="9" borderId="0" xfId="0" applyNumberFormat="1" applyFont="1" applyFill="1" applyAlignment="1">
      <alignment horizontal="left"/>
    </xf>
    <xf numFmtId="0" fontId="36" fillId="9" borderId="0" xfId="0" applyFont="1" applyFill="1" applyBorder="1" applyAlignment="1"/>
    <xf numFmtId="0" fontId="0" fillId="9" borderId="51" xfId="0" applyFill="1" applyBorder="1" applyAlignment="1">
      <alignment horizontal="center"/>
    </xf>
    <xf numFmtId="0" fontId="0" fillId="9" borderId="13" xfId="0" applyFill="1" applyBorder="1" applyAlignment="1">
      <alignment horizontal="center"/>
    </xf>
    <xf numFmtId="0" fontId="0" fillId="9" borderId="0" xfId="0" applyFill="1" applyAlignment="1">
      <alignment horizontal="right"/>
    </xf>
    <xf numFmtId="0" fontId="0" fillId="9" borderId="46" xfId="0" applyFill="1" applyBorder="1" applyAlignment="1">
      <alignment horizontal="center"/>
    </xf>
    <xf numFmtId="0" fontId="0" fillId="9" borderId="4" xfId="0" applyFill="1" applyBorder="1" applyAlignment="1">
      <alignment horizontal="center"/>
    </xf>
    <xf numFmtId="0" fontId="0" fillId="9" borderId="5" xfId="0" applyFill="1" applyBorder="1" applyAlignment="1">
      <alignment horizontal="center"/>
    </xf>
    <xf numFmtId="0" fontId="1" fillId="9" borderId="0" xfId="0" applyFont="1" applyFill="1" applyAlignment="1">
      <alignment horizontal="right"/>
    </xf>
    <xf numFmtId="0" fontId="1" fillId="9" borderId="0" xfId="0" applyFont="1" applyFill="1" applyAlignment="1">
      <alignment horizontal="left"/>
    </xf>
    <xf numFmtId="0" fontId="48" fillId="9" borderId="0" xfId="0" applyFont="1" applyFill="1"/>
    <xf numFmtId="0" fontId="0" fillId="9" borderId="72" xfId="0" applyFill="1" applyBorder="1"/>
    <xf numFmtId="0" fontId="0" fillId="9" borderId="52" xfId="0" applyFill="1" applyBorder="1" applyAlignment="1">
      <alignment horizontal="center"/>
    </xf>
    <xf numFmtId="0" fontId="0" fillId="8" borderId="17" xfId="0" applyFill="1" applyBorder="1"/>
    <xf numFmtId="0" fontId="0" fillId="9" borderId="23" xfId="0" applyFill="1" applyBorder="1" applyAlignment="1">
      <alignment horizontal="center"/>
    </xf>
    <xf numFmtId="0" fontId="49" fillId="9" borderId="0" xfId="0" applyFont="1" applyFill="1"/>
    <xf numFmtId="0" fontId="0" fillId="11" borderId="4" xfId="0" applyFill="1" applyBorder="1" applyProtection="1">
      <protection locked="0"/>
    </xf>
    <xf numFmtId="0" fontId="0" fillId="11" borderId="4" xfId="0" applyFill="1" applyBorder="1" applyAlignment="1" applyProtection="1">
      <protection locked="0"/>
    </xf>
    <xf numFmtId="0" fontId="0" fillId="11" borderId="33" xfId="0" applyFill="1" applyBorder="1" applyAlignment="1" applyProtection="1">
      <protection locked="0"/>
    </xf>
    <xf numFmtId="0" fontId="0" fillId="11" borderId="1" xfId="0" applyFill="1" applyBorder="1" applyAlignment="1" applyProtection="1">
      <alignment horizontal="center"/>
      <protection locked="0"/>
    </xf>
    <xf numFmtId="0" fontId="0" fillId="9" borderId="1" xfId="0" applyFill="1" applyBorder="1" applyAlignment="1" applyProtection="1">
      <alignment horizontal="center"/>
      <protection locked="0"/>
    </xf>
    <xf numFmtId="0" fontId="0" fillId="9" borderId="24" xfId="0" applyFill="1" applyBorder="1" applyAlignment="1" applyProtection="1">
      <alignment horizontal="center"/>
      <protection locked="0"/>
    </xf>
    <xf numFmtId="0" fontId="0" fillId="11" borderId="1" xfId="0" applyFill="1" applyBorder="1" applyProtection="1">
      <protection locked="0"/>
    </xf>
    <xf numFmtId="0" fontId="50" fillId="0" borderId="0" xfId="0" applyFont="1" applyFill="1"/>
    <xf numFmtId="0" fontId="50" fillId="0" borderId="0" xfId="0" applyFont="1" applyFill="1" applyAlignment="1">
      <alignment vertical="center"/>
    </xf>
    <xf numFmtId="0" fontId="47" fillId="9" borderId="1" xfId="0" applyFont="1" applyFill="1" applyBorder="1" applyAlignment="1">
      <alignment horizontal="center"/>
    </xf>
    <xf numFmtId="0" fontId="40" fillId="9" borderId="0" xfId="0" applyFont="1" applyFill="1"/>
    <xf numFmtId="0" fontId="51" fillId="9" borderId="0" xfId="0" applyFont="1" applyFill="1"/>
    <xf numFmtId="0" fontId="37" fillId="9" borderId="0" xfId="0" applyFont="1" applyFill="1" applyBorder="1" applyAlignment="1">
      <alignment horizontal="right"/>
    </xf>
    <xf numFmtId="0" fontId="52" fillId="9" borderId="0" xfId="0" applyFont="1" applyFill="1"/>
    <xf numFmtId="0" fontId="39" fillId="9" borderId="0" xfId="0" applyFont="1" applyFill="1"/>
    <xf numFmtId="0" fontId="39" fillId="9" borderId="1" xfId="0" applyFont="1" applyFill="1" applyBorder="1"/>
    <xf numFmtId="0" fontId="51" fillId="9" borderId="0" xfId="0" applyFont="1" applyFill="1" applyBorder="1" applyAlignment="1">
      <alignment horizontal="right"/>
    </xf>
    <xf numFmtId="0" fontId="54" fillId="9" borderId="0" xfId="0" applyFont="1" applyFill="1" applyBorder="1" applyAlignment="1">
      <alignment horizontal="right"/>
    </xf>
    <xf numFmtId="0" fontId="37" fillId="9" borderId="1" xfId="0" applyFont="1" applyFill="1" applyBorder="1"/>
    <xf numFmtId="0" fontId="39" fillId="9" borderId="0" xfId="0" applyFont="1" applyFill="1" applyBorder="1" applyAlignment="1">
      <alignment horizontal="right"/>
    </xf>
    <xf numFmtId="0" fontId="39" fillId="9" borderId="0" xfId="0" applyFont="1" applyFill="1" applyAlignment="1">
      <alignment horizontal="right"/>
    </xf>
    <xf numFmtId="0" fontId="37" fillId="9" borderId="0" xfId="0" applyFont="1" applyFill="1" applyBorder="1"/>
    <xf numFmtId="0" fontId="39" fillId="9" borderId="0" xfId="0" applyFont="1" applyFill="1" applyBorder="1"/>
    <xf numFmtId="165" fontId="37" fillId="9" borderId="0" xfId="0" applyNumberFormat="1" applyFont="1" applyFill="1"/>
    <xf numFmtId="0" fontId="37" fillId="9" borderId="0" xfId="0" applyFont="1" applyFill="1" applyBorder="1" applyAlignment="1">
      <alignment horizontal="center"/>
    </xf>
    <xf numFmtId="166" fontId="37" fillId="9" borderId="0" xfId="0" applyNumberFormat="1" applyFont="1" applyFill="1"/>
    <xf numFmtId="164" fontId="37" fillId="9" borderId="0" xfId="0" applyNumberFormat="1" applyFont="1" applyFill="1" applyBorder="1" applyAlignment="1" applyProtection="1">
      <alignment horizontal="center"/>
      <protection locked="0"/>
    </xf>
    <xf numFmtId="0" fontId="37" fillId="9" borderId="0" xfId="0" applyFont="1" applyFill="1" applyProtection="1"/>
    <xf numFmtId="1" fontId="37" fillId="9" borderId="0" xfId="0" applyNumberFormat="1" applyFont="1" applyFill="1" applyProtection="1"/>
    <xf numFmtId="0" fontId="10" fillId="9" borderId="3" xfId="0" applyFont="1" applyFill="1" applyBorder="1" applyAlignment="1">
      <alignment horizontal="center"/>
    </xf>
    <xf numFmtId="0" fontId="0" fillId="9" borderId="0" xfId="0" applyFont="1" applyFill="1" applyBorder="1" applyAlignment="1">
      <alignment horizontal="left"/>
    </xf>
    <xf numFmtId="0" fontId="0" fillId="9" borderId="0" xfId="0" quotePrefix="1" applyFill="1"/>
    <xf numFmtId="165" fontId="3" fillId="9" borderId="0" xfId="0" applyNumberFormat="1" applyFont="1" applyFill="1"/>
    <xf numFmtId="0" fontId="30" fillId="0" borderId="2" xfId="0" applyFont="1" applyFill="1" applyBorder="1" applyAlignment="1"/>
    <xf numFmtId="0" fontId="0" fillId="0" borderId="2" xfId="0" applyFill="1" applyBorder="1"/>
    <xf numFmtId="0" fontId="51" fillId="9" borderId="0" xfId="0" applyFont="1" applyFill="1" applyBorder="1" applyAlignment="1">
      <alignment horizontal="center"/>
    </xf>
    <xf numFmtId="0" fontId="3" fillId="9" borderId="0" xfId="0" applyFont="1" applyFill="1" applyBorder="1" applyAlignment="1">
      <alignment horizontal="center"/>
    </xf>
    <xf numFmtId="2" fontId="13" fillId="9" borderId="0" xfId="0" applyNumberFormat="1" applyFont="1" applyFill="1" applyBorder="1" applyAlignment="1" applyProtection="1">
      <alignment horizontal="center"/>
      <protection locked="0"/>
    </xf>
    <xf numFmtId="1" fontId="39" fillId="9" borderId="0" xfId="0" applyNumberFormat="1" applyFont="1" applyFill="1" applyBorder="1" applyAlignment="1">
      <alignment horizontal="center"/>
    </xf>
    <xf numFmtId="165" fontId="37" fillId="9" borderId="0" xfId="0" applyNumberFormat="1" applyFont="1" applyFill="1" applyBorder="1"/>
    <xf numFmtId="0" fontId="2" fillId="9" borderId="0" xfId="0" applyFont="1" applyFill="1" applyBorder="1" applyAlignment="1">
      <alignment horizontal="center"/>
    </xf>
    <xf numFmtId="0" fontId="3" fillId="9" borderId="0" xfId="0" applyFont="1" applyFill="1" applyBorder="1"/>
    <xf numFmtId="0" fontId="55" fillId="9" borderId="0" xfId="0" applyFont="1" applyFill="1" applyBorder="1" applyAlignment="1">
      <alignment horizontal="center"/>
    </xf>
    <xf numFmtId="1" fontId="37" fillId="9" borderId="0" xfId="0" applyNumberFormat="1" applyFont="1" applyFill="1" applyBorder="1"/>
    <xf numFmtId="170" fontId="37" fillId="9" borderId="0" xfId="0" applyNumberFormat="1" applyFont="1" applyFill="1" applyBorder="1"/>
    <xf numFmtId="1" fontId="0" fillId="0" borderId="38" xfId="0" applyNumberFormat="1" applyBorder="1" applyAlignment="1">
      <alignment horizontal="center"/>
    </xf>
    <xf numFmtId="0" fontId="0" fillId="0" borderId="0" xfId="0"/>
    <xf numFmtId="0" fontId="0" fillId="0" borderId="0" xfId="0" applyBorder="1"/>
    <xf numFmtId="0" fontId="0" fillId="0" borderId="0" xfId="0" applyBorder="1" applyAlignment="1">
      <alignment horizontal="center"/>
    </xf>
    <xf numFmtId="0" fontId="0" fillId="0" borderId="0" xfId="0" applyFill="1"/>
    <xf numFmtId="0" fontId="0" fillId="0" borderId="15" xfId="0" applyBorder="1"/>
    <xf numFmtId="0" fontId="0" fillId="0" borderId="16" xfId="0" applyBorder="1"/>
    <xf numFmtId="0" fontId="0" fillId="0" borderId="17" xfId="0" applyBorder="1"/>
    <xf numFmtId="0" fontId="0" fillId="0" borderId="10" xfId="0" applyBorder="1"/>
    <xf numFmtId="0" fontId="10" fillId="0" borderId="0" xfId="0" applyFont="1"/>
    <xf numFmtId="0" fontId="0" fillId="0" borderId="10" xfId="0" applyBorder="1" applyAlignment="1">
      <alignment horizontal="right"/>
    </xf>
    <xf numFmtId="0" fontId="0" fillId="2" borderId="1" xfId="0" applyFill="1" applyBorder="1" applyAlignment="1" applyProtection="1">
      <alignment horizontal="center"/>
      <protection locked="0"/>
    </xf>
    <xf numFmtId="1" fontId="0" fillId="0" borderId="13" xfId="0" applyNumberFormat="1" applyBorder="1" applyAlignment="1">
      <alignment horizontal="center"/>
    </xf>
    <xf numFmtId="1" fontId="0" fillId="0" borderId="23" xfId="0" applyNumberFormat="1" applyBorder="1" applyAlignment="1">
      <alignment horizontal="center"/>
    </xf>
    <xf numFmtId="1" fontId="0" fillId="0" borderId="1" xfId="0" applyNumberFormat="1" applyBorder="1" applyAlignment="1">
      <alignment horizontal="center"/>
    </xf>
    <xf numFmtId="1" fontId="0" fillId="0" borderId="24" xfId="0" applyNumberFormat="1" applyBorder="1" applyAlignment="1">
      <alignment horizontal="center"/>
    </xf>
    <xf numFmtId="0" fontId="0" fillId="0" borderId="1" xfId="0" applyBorder="1" applyAlignment="1">
      <alignment horizontal="center"/>
    </xf>
    <xf numFmtId="0" fontId="0" fillId="0" borderId="24" xfId="0" applyBorder="1" applyAlignment="1">
      <alignment horizontal="center"/>
    </xf>
    <xf numFmtId="1" fontId="0" fillId="0" borderId="0" xfId="0" applyNumberFormat="1" applyBorder="1" applyAlignment="1">
      <alignment horizontal="center"/>
    </xf>
    <xf numFmtId="0" fontId="23" fillId="0" borderId="0" xfId="0" applyFont="1" applyFill="1"/>
    <xf numFmtId="0" fontId="0" fillId="9" borderId="0" xfId="0" applyFill="1"/>
    <xf numFmtId="0" fontId="10" fillId="9" borderId="0" xfId="0" applyFont="1" applyFill="1"/>
    <xf numFmtId="0" fontId="0" fillId="9" borderId="0" xfId="0" applyFill="1" applyBorder="1" applyAlignment="1">
      <alignment horizontal="right"/>
    </xf>
    <xf numFmtId="0" fontId="10" fillId="9" borderId="0" xfId="0" applyFont="1" applyFill="1" applyBorder="1"/>
    <xf numFmtId="0" fontId="0" fillId="9" borderId="0" xfId="0" applyFill="1" applyBorder="1"/>
    <xf numFmtId="0" fontId="0" fillId="9" borderId="0" xfId="0" applyFill="1" applyBorder="1" applyAlignment="1">
      <alignment horizontal="center"/>
    </xf>
    <xf numFmtId="0" fontId="10" fillId="9" borderId="0" xfId="0" applyFont="1" applyFill="1" applyBorder="1" applyAlignment="1">
      <alignment horizontal="left"/>
    </xf>
    <xf numFmtId="0" fontId="10" fillId="9" borderId="0" xfId="0" applyFont="1" applyFill="1" applyBorder="1" applyAlignment="1">
      <alignment horizontal="center"/>
    </xf>
    <xf numFmtId="0" fontId="0" fillId="9" borderId="0" xfId="0" applyFill="1" applyBorder="1" applyAlignment="1">
      <alignment horizontal="left"/>
    </xf>
    <xf numFmtId="164" fontId="0" fillId="9" borderId="0" xfId="0" applyNumberFormat="1" applyFill="1" applyBorder="1" applyAlignment="1" applyProtection="1">
      <alignment horizontal="center"/>
      <protection locked="0"/>
    </xf>
    <xf numFmtId="0" fontId="0" fillId="9" borderId="1" xfId="0" applyFill="1" applyBorder="1"/>
    <xf numFmtId="1" fontId="0" fillId="9" borderId="0" xfId="0" applyNumberFormat="1" applyFill="1" applyBorder="1" applyAlignment="1">
      <alignment horizontal="center"/>
    </xf>
    <xf numFmtId="2" fontId="0" fillId="9" borderId="0" xfId="0" applyNumberFormat="1" applyFill="1" applyBorder="1" applyAlignment="1">
      <alignment horizontal="center"/>
    </xf>
    <xf numFmtId="164" fontId="0" fillId="9" borderId="0" xfId="0" applyNumberFormat="1" applyFill="1" applyBorder="1" applyAlignment="1">
      <alignment horizontal="center"/>
    </xf>
    <xf numFmtId="0" fontId="0" fillId="9" borderId="0" xfId="0" applyFill="1" applyAlignment="1">
      <alignment horizontal="center"/>
    </xf>
    <xf numFmtId="164" fontId="0" fillId="9" borderId="0" xfId="0" applyNumberFormat="1" applyFill="1" applyAlignment="1">
      <alignment horizontal="center"/>
    </xf>
    <xf numFmtId="0" fontId="0" fillId="9" borderId="0" xfId="0" applyFill="1" applyAlignment="1">
      <alignment horizontal="left"/>
    </xf>
    <xf numFmtId="1" fontId="0" fillId="0" borderId="1" xfId="0" applyNumberFormat="1" applyFill="1" applyBorder="1" applyAlignment="1">
      <alignment horizontal="center"/>
    </xf>
    <xf numFmtId="0" fontId="25" fillId="9" borderId="0" xfId="0" applyFont="1" applyFill="1"/>
    <xf numFmtId="0" fontId="2" fillId="9" borderId="0" xfId="0" applyFont="1" applyFill="1" applyBorder="1"/>
    <xf numFmtId="0" fontId="0" fillId="9" borderId="0" xfId="0" applyFill="1" applyBorder="1" applyAlignment="1" applyProtection="1">
      <alignment horizontal="left"/>
      <protection locked="0"/>
    </xf>
    <xf numFmtId="1" fontId="0" fillId="9" borderId="0" xfId="0" applyNumberFormat="1" applyFill="1"/>
    <xf numFmtId="0" fontId="0" fillId="3" borderId="0" xfId="0" applyFill="1"/>
    <xf numFmtId="0" fontId="1" fillId="9" borderId="1" xfId="0" applyFont="1" applyFill="1" applyBorder="1"/>
    <xf numFmtId="2" fontId="28" fillId="2" borderId="39" xfId="0" applyNumberFormat="1" applyFont="1" applyFill="1" applyBorder="1" applyAlignment="1" applyProtection="1">
      <alignment horizontal="center"/>
      <protection locked="0"/>
    </xf>
    <xf numFmtId="0" fontId="0" fillId="4" borderId="1" xfId="0" applyFill="1" applyBorder="1"/>
    <xf numFmtId="0" fontId="28" fillId="4" borderId="1" xfId="0" applyFont="1" applyFill="1" applyBorder="1"/>
    <xf numFmtId="0" fontId="28" fillId="0" borderId="45" xfId="0" applyFont="1" applyBorder="1" applyAlignment="1">
      <alignment horizontal="left"/>
    </xf>
    <xf numFmtId="0" fontId="1" fillId="0" borderId="0" xfId="0" applyFont="1" applyFill="1" applyBorder="1" applyAlignment="1">
      <alignment horizontal="left"/>
    </xf>
    <xf numFmtId="0" fontId="0" fillId="0" borderId="0" xfId="0" applyFill="1" applyBorder="1"/>
    <xf numFmtId="0" fontId="0" fillId="3" borderId="9" xfId="0" applyFill="1" applyBorder="1"/>
    <xf numFmtId="0" fontId="0" fillId="3" borderId="14" xfId="0" applyFill="1" applyBorder="1"/>
    <xf numFmtId="0" fontId="10" fillId="3" borderId="19" xfId="0" applyFont="1" applyFill="1" applyBorder="1"/>
    <xf numFmtId="0" fontId="10" fillId="3" borderId="20" xfId="0" applyFont="1" applyFill="1" applyBorder="1"/>
    <xf numFmtId="0" fontId="10" fillId="3" borderId="21" xfId="0" applyFont="1" applyFill="1" applyBorder="1" applyAlignment="1">
      <alignment horizontal="center"/>
    </xf>
    <xf numFmtId="0" fontId="10" fillId="3" borderId="22" xfId="0" applyFont="1" applyFill="1" applyBorder="1" applyAlignment="1">
      <alignment horizontal="center"/>
    </xf>
    <xf numFmtId="0" fontId="10" fillId="3" borderId="26" xfId="0" applyFont="1" applyFill="1" applyBorder="1" applyAlignment="1">
      <alignment horizontal="center"/>
    </xf>
    <xf numFmtId="0" fontId="10" fillId="3" borderId="27" xfId="0" applyFont="1" applyFill="1" applyBorder="1" applyAlignment="1">
      <alignment horizontal="center"/>
    </xf>
    <xf numFmtId="0" fontId="0" fillId="9" borderId="10" xfId="0" applyFill="1" applyBorder="1"/>
    <xf numFmtId="0" fontId="32" fillId="12" borderId="5" xfId="0" applyFont="1" applyFill="1" applyBorder="1" applyAlignment="1">
      <alignment horizontal="left"/>
    </xf>
    <xf numFmtId="0" fontId="32" fillId="12" borderId="6" xfId="0" applyFont="1" applyFill="1" applyBorder="1" applyAlignment="1">
      <alignment horizontal="left"/>
    </xf>
    <xf numFmtId="1" fontId="0" fillId="0" borderId="24" xfId="0" applyNumberFormat="1" applyFill="1" applyBorder="1" applyAlignment="1">
      <alignment horizontal="center"/>
    </xf>
    <xf numFmtId="0" fontId="9" fillId="9" borderId="0" xfId="0" applyFont="1" applyFill="1" applyAlignment="1">
      <alignment horizontal="left"/>
    </xf>
    <xf numFmtId="0" fontId="0" fillId="9" borderId="0" xfId="0" applyFill="1" applyAlignment="1">
      <alignment horizontal="right"/>
    </xf>
    <xf numFmtId="9" fontId="0" fillId="2" borderId="24" xfId="2" applyFont="1" applyFill="1" applyBorder="1" applyAlignment="1" applyProtection="1">
      <alignment horizontal="center"/>
      <protection locked="0"/>
    </xf>
    <xf numFmtId="2" fontId="28" fillId="2" borderId="43" xfId="0" applyNumberFormat="1" applyFont="1" applyFill="1" applyBorder="1" applyAlignment="1" applyProtection="1">
      <alignment horizontal="center"/>
      <protection locked="0"/>
    </xf>
    <xf numFmtId="0" fontId="1" fillId="10" borderId="1" xfId="0" applyFont="1" applyFill="1" applyBorder="1" applyAlignment="1" applyProtection="1">
      <alignment horizontal="left"/>
      <protection locked="0"/>
    </xf>
    <xf numFmtId="0" fontId="0" fillId="10" borderId="1" xfId="0" applyFill="1" applyBorder="1" applyAlignment="1" applyProtection="1">
      <alignment horizontal="left"/>
      <protection locked="0"/>
    </xf>
    <xf numFmtId="0" fontId="10" fillId="3" borderId="12" xfId="0" applyFont="1" applyFill="1" applyBorder="1"/>
    <xf numFmtId="0" fontId="10" fillId="3" borderId="36" xfId="0" applyFont="1" applyFill="1" applyBorder="1"/>
    <xf numFmtId="0" fontId="24" fillId="9" borderId="0" xfId="0" applyFont="1" applyFill="1" applyBorder="1"/>
    <xf numFmtId="0" fontId="1" fillId="0" borderId="10" xfId="0" applyFont="1" applyBorder="1" applyAlignment="1">
      <alignment horizontal="left"/>
    </xf>
    <xf numFmtId="2" fontId="1" fillId="0" borderId="13" xfId="0" applyNumberFormat="1" applyFont="1" applyBorder="1" applyAlignment="1">
      <alignment horizontal="center"/>
    </xf>
    <xf numFmtId="1" fontId="0" fillId="0" borderId="40" xfId="0" applyNumberFormat="1" applyBorder="1" applyAlignment="1">
      <alignment horizontal="center"/>
    </xf>
    <xf numFmtId="0" fontId="24" fillId="9" borderId="17" xfId="0" applyFont="1" applyFill="1" applyBorder="1"/>
    <xf numFmtId="2" fontId="0" fillId="0" borderId="24" xfId="0" applyNumberFormat="1" applyBorder="1" applyAlignment="1">
      <alignment horizontal="center"/>
    </xf>
    <xf numFmtId="1" fontId="0" fillId="0" borderId="41" xfId="0" applyNumberFormat="1" applyBorder="1" applyAlignment="1">
      <alignment horizontal="center"/>
    </xf>
    <xf numFmtId="2" fontId="1" fillId="0" borderId="23" xfId="0" applyNumberFormat="1" applyFont="1" applyBorder="1" applyAlignment="1">
      <alignment horizontal="center"/>
    </xf>
    <xf numFmtId="0" fontId="24" fillId="9" borderId="10" xfId="0" applyFont="1" applyFill="1" applyBorder="1"/>
    <xf numFmtId="0" fontId="24" fillId="9" borderId="10" xfId="0" applyFont="1" applyFill="1" applyBorder="1" applyAlignment="1">
      <alignment horizontal="left"/>
    </xf>
    <xf numFmtId="0" fontId="38" fillId="0" borderId="10" xfId="0" applyFont="1" applyBorder="1"/>
    <xf numFmtId="0" fontId="0" fillId="0" borderId="29" xfId="0" applyBorder="1"/>
    <xf numFmtId="0" fontId="0" fillId="0" borderId="57" xfId="0" applyBorder="1" applyAlignment="1">
      <alignment horizontal="left"/>
    </xf>
    <xf numFmtId="0" fontId="40" fillId="9" borderId="0" xfId="0" applyFont="1" applyFill="1" applyBorder="1" applyAlignment="1">
      <alignment horizontal="right"/>
    </xf>
    <xf numFmtId="0" fontId="39" fillId="9" borderId="0" xfId="0" applyFont="1" applyFill="1" applyBorder="1" applyAlignment="1">
      <alignment horizontal="center"/>
    </xf>
    <xf numFmtId="0" fontId="37" fillId="9" borderId="0" xfId="0" applyFont="1" applyFill="1"/>
    <xf numFmtId="1" fontId="37" fillId="9" borderId="0" xfId="0" applyNumberFormat="1" applyFont="1" applyFill="1"/>
    <xf numFmtId="2" fontId="0" fillId="0" borderId="1" xfId="0" applyNumberFormat="1" applyBorder="1" applyAlignment="1">
      <alignment horizontal="center"/>
    </xf>
    <xf numFmtId="0" fontId="10" fillId="3" borderId="10" xfId="0" applyFont="1" applyFill="1" applyBorder="1"/>
    <xf numFmtId="164" fontId="1" fillId="0" borderId="1" xfId="0" applyNumberFormat="1" applyFont="1" applyBorder="1" applyAlignment="1">
      <alignment horizontal="center"/>
    </xf>
    <xf numFmtId="164" fontId="1" fillId="0" borderId="24" xfId="0" applyNumberFormat="1" applyFont="1" applyBorder="1" applyAlignment="1">
      <alignment horizontal="center"/>
    </xf>
    <xf numFmtId="0" fontId="0" fillId="0" borderId="10" xfId="0" applyBorder="1" applyAlignment="1" applyProtection="1">
      <alignment horizontal="left"/>
      <protection locked="0"/>
    </xf>
    <xf numFmtId="0" fontId="0" fillId="0" borderId="10" xfId="0" applyFill="1" applyBorder="1"/>
    <xf numFmtId="0" fontId="25" fillId="9" borderId="0" xfId="0" applyFont="1" applyFill="1" applyAlignment="1">
      <alignment horizontal="left"/>
    </xf>
    <xf numFmtId="0" fontId="0" fillId="9" borderId="4" xfId="0" applyFill="1" applyBorder="1" applyAlignment="1">
      <alignment horizontal="center"/>
    </xf>
    <xf numFmtId="0" fontId="0" fillId="0" borderId="3" xfId="0" applyFill="1" applyBorder="1" applyAlignment="1">
      <alignment horizontal="left"/>
    </xf>
    <xf numFmtId="0" fontId="0" fillId="0" borderId="3" xfId="0" applyFill="1" applyBorder="1"/>
    <xf numFmtId="0" fontId="0" fillId="9" borderId="0" xfId="0" applyNumberFormat="1" applyFont="1" applyFill="1" applyAlignment="1">
      <alignment horizontal="left"/>
    </xf>
    <xf numFmtId="0" fontId="3" fillId="9" borderId="50" xfId="0" applyFont="1" applyFill="1" applyBorder="1" applyAlignment="1">
      <alignment horizontal="center"/>
    </xf>
    <xf numFmtId="0" fontId="0" fillId="9" borderId="51" xfId="0" applyFill="1" applyBorder="1" applyAlignment="1">
      <alignment horizontal="right"/>
    </xf>
    <xf numFmtId="0" fontId="0" fillId="0" borderId="0" xfId="0" applyFill="1" applyBorder="1" applyAlignment="1"/>
    <xf numFmtId="0" fontId="3" fillId="9" borderId="0" xfId="0" applyNumberFormat="1" applyFont="1" applyFill="1" applyAlignment="1">
      <alignment horizontal="left"/>
    </xf>
    <xf numFmtId="0" fontId="36" fillId="9" borderId="0" xfId="0" applyFont="1" applyFill="1" applyBorder="1" applyAlignment="1"/>
    <xf numFmtId="0" fontId="49" fillId="9" borderId="0" xfId="0" applyFont="1" applyFill="1"/>
    <xf numFmtId="0" fontId="37" fillId="9" borderId="0" xfId="0" applyFont="1" applyFill="1" applyBorder="1" applyAlignment="1">
      <alignment horizontal="right"/>
    </xf>
    <xf numFmtId="0" fontId="51" fillId="9" borderId="0" xfId="0" applyFont="1" applyFill="1" applyBorder="1" applyAlignment="1">
      <alignment horizontal="right"/>
    </xf>
    <xf numFmtId="0" fontId="37" fillId="9" borderId="0" xfId="0" applyFont="1" applyFill="1" applyBorder="1"/>
    <xf numFmtId="0" fontId="37" fillId="9" borderId="0" xfId="0" applyFont="1" applyFill="1" applyBorder="1" applyAlignment="1">
      <alignment horizontal="center"/>
    </xf>
    <xf numFmtId="0" fontId="10" fillId="9" borderId="5" xfId="0" applyFont="1" applyFill="1" applyBorder="1" applyAlignment="1"/>
    <xf numFmtId="0" fontId="30" fillId="0" borderId="2" xfId="0" applyFont="1" applyFill="1" applyBorder="1" applyAlignment="1">
      <alignment horizontal="left"/>
    </xf>
    <xf numFmtId="0" fontId="51" fillId="9" borderId="0" xfId="0" applyFont="1" applyFill="1" applyBorder="1" applyAlignment="1">
      <alignment horizontal="center"/>
    </xf>
    <xf numFmtId="0" fontId="3" fillId="9" borderId="0" xfId="0" applyFont="1" applyFill="1" applyBorder="1" applyAlignment="1">
      <alignment horizontal="center"/>
    </xf>
    <xf numFmtId="1" fontId="39" fillId="9" borderId="0" xfId="0" applyNumberFormat="1" applyFont="1" applyFill="1" applyBorder="1" applyAlignment="1">
      <alignment horizontal="center"/>
    </xf>
    <xf numFmtId="165" fontId="37" fillId="9" borderId="0" xfId="0" applyNumberFormat="1" applyFont="1" applyFill="1" applyBorder="1"/>
    <xf numFmtId="0" fontId="3" fillId="9" borderId="0" xfId="0" applyFont="1" applyFill="1" applyBorder="1"/>
    <xf numFmtId="0" fontId="55" fillId="9" borderId="0" xfId="0" applyFont="1" applyFill="1" applyBorder="1" applyAlignment="1">
      <alignment horizontal="center"/>
    </xf>
    <xf numFmtId="1" fontId="37" fillId="9" borderId="0" xfId="0" applyNumberFormat="1" applyFont="1" applyFill="1" applyBorder="1"/>
    <xf numFmtId="170" fontId="37" fillId="9" borderId="0" xfId="0" applyNumberFormat="1" applyFont="1" applyFill="1" applyBorder="1"/>
    <xf numFmtId="0" fontId="0" fillId="9" borderId="0" xfId="0" quotePrefix="1" applyFill="1" applyBorder="1"/>
    <xf numFmtId="165" fontId="3" fillId="9" borderId="0" xfId="0" applyNumberFormat="1" applyFont="1" applyFill="1" applyBorder="1"/>
    <xf numFmtId="165" fontId="0" fillId="0" borderId="0" xfId="0" applyNumberFormat="1" applyBorder="1" applyAlignment="1">
      <alignment horizontal="center"/>
    </xf>
    <xf numFmtId="0" fontId="0" fillId="15" borderId="40" xfId="2" applyNumberFormat="1" applyFont="1" applyFill="1" applyBorder="1" applyAlignment="1" applyProtection="1">
      <alignment horizontal="center"/>
      <protection locked="0"/>
    </xf>
    <xf numFmtId="0" fontId="0" fillId="15" borderId="41" xfId="2" applyNumberFormat="1" applyFont="1" applyFill="1" applyBorder="1" applyAlignment="1" applyProtection="1">
      <alignment horizontal="center"/>
      <protection locked="0"/>
    </xf>
    <xf numFmtId="164" fontId="10" fillId="9" borderId="0" xfId="0" applyNumberFormat="1" applyFont="1" applyFill="1" applyBorder="1"/>
    <xf numFmtId="0" fontId="8" fillId="9" borderId="0" xfId="0" applyFont="1" applyFill="1"/>
    <xf numFmtId="0" fontId="8" fillId="9" borderId="0" xfId="0" applyFont="1" applyFill="1" applyBorder="1"/>
    <xf numFmtId="0" fontId="8" fillId="9" borderId="0" xfId="0" applyFont="1" applyFill="1" applyBorder="1" applyAlignment="1">
      <alignment horizontal="right"/>
    </xf>
    <xf numFmtId="0" fontId="8" fillId="9" borderId="0" xfId="0" quotePrefix="1" applyFont="1" applyFill="1" applyBorder="1"/>
    <xf numFmtId="165" fontId="56" fillId="9" borderId="0" xfId="0" applyNumberFormat="1" applyFont="1" applyFill="1" applyBorder="1"/>
    <xf numFmtId="0" fontId="8" fillId="0" borderId="0" xfId="0" applyFont="1"/>
    <xf numFmtId="0" fontId="8" fillId="9" borderId="0" xfId="0" applyFont="1" applyFill="1" applyAlignment="1">
      <alignment horizontal="center"/>
    </xf>
    <xf numFmtId="164" fontId="8" fillId="9" borderId="0" xfId="0" applyNumberFormat="1" applyFont="1" applyFill="1" applyAlignment="1">
      <alignment horizontal="center"/>
    </xf>
    <xf numFmtId="165" fontId="0" fillId="0" borderId="17" xfId="0" applyNumberFormat="1" applyBorder="1" applyAlignment="1">
      <alignment horizontal="center"/>
    </xf>
    <xf numFmtId="165" fontId="0" fillId="0" borderId="75" xfId="0" applyNumberFormat="1" applyBorder="1" applyAlignment="1">
      <alignment horizontal="center"/>
    </xf>
    <xf numFmtId="0" fontId="0" fillId="3" borderId="19" xfId="0" applyFill="1" applyBorder="1" applyProtection="1">
      <protection locked="0"/>
    </xf>
    <xf numFmtId="1" fontId="0" fillId="0" borderId="76" xfId="0" applyNumberFormat="1" applyBorder="1" applyAlignment="1">
      <alignment horizontal="center"/>
    </xf>
    <xf numFmtId="0" fontId="0" fillId="0" borderId="28" xfId="0" applyBorder="1" applyAlignment="1">
      <alignment horizontal="left"/>
    </xf>
    <xf numFmtId="2" fontId="0" fillId="9" borderId="0" xfId="0" applyNumberFormat="1" applyFill="1"/>
    <xf numFmtId="0" fontId="10" fillId="3" borderId="2" xfId="0" applyFont="1" applyFill="1" applyBorder="1" applyAlignment="1">
      <alignment horizontal="center"/>
    </xf>
    <xf numFmtId="0" fontId="0" fillId="0" borderId="10" xfId="0" applyBorder="1" applyAlignment="1">
      <alignment horizontal="left"/>
    </xf>
    <xf numFmtId="0" fontId="0" fillId="3" borderId="0" xfId="0" applyFill="1" applyAlignment="1">
      <alignment horizontal="center"/>
    </xf>
    <xf numFmtId="165" fontId="0" fillId="0" borderId="1" xfId="0" applyNumberFormat="1" applyBorder="1" applyAlignment="1">
      <alignment horizontal="center"/>
    </xf>
    <xf numFmtId="0" fontId="0" fillId="16" borderId="13" xfId="0" applyFill="1" applyBorder="1" applyAlignment="1" applyProtection="1">
      <alignment horizontal="center"/>
      <protection locked="0"/>
    </xf>
    <xf numFmtId="0" fontId="0" fillId="16" borderId="1" xfId="0" applyFill="1" applyBorder="1" applyAlignment="1" applyProtection="1">
      <alignment horizontal="center"/>
      <protection locked="0"/>
    </xf>
    <xf numFmtId="0" fontId="0" fillId="16" borderId="1" xfId="0" applyFill="1" applyBorder="1" applyAlignment="1" applyProtection="1">
      <alignment horizontal="center"/>
    </xf>
    <xf numFmtId="0" fontId="0" fillId="16" borderId="23" xfId="0" applyFill="1" applyBorder="1" applyAlignment="1" applyProtection="1">
      <alignment horizontal="center"/>
      <protection locked="0"/>
    </xf>
    <xf numFmtId="0" fontId="0" fillId="16" borderId="24" xfId="0" applyFill="1" applyBorder="1" applyAlignment="1" applyProtection="1">
      <alignment horizontal="center"/>
      <protection locked="0"/>
    </xf>
    <xf numFmtId="0" fontId="0" fillId="16" borderId="24" xfId="0" applyFill="1" applyBorder="1" applyAlignment="1" applyProtection="1">
      <alignment horizontal="center"/>
    </xf>
    <xf numFmtId="0" fontId="0" fillId="3" borderId="3" xfId="0" applyFill="1" applyBorder="1" applyAlignment="1">
      <alignment horizontal="center"/>
    </xf>
    <xf numFmtId="0" fontId="0" fillId="3" borderId="0" xfId="0" applyFill="1" applyBorder="1" applyAlignment="1">
      <alignment horizontal="center"/>
    </xf>
    <xf numFmtId="0" fontId="0" fillId="3" borderId="50" xfId="0" applyFill="1" applyBorder="1" applyAlignment="1">
      <alignment horizontal="center"/>
    </xf>
    <xf numFmtId="0" fontId="1" fillId="2" borderId="6" xfId="0" applyFont="1" applyFill="1" applyBorder="1" applyAlignment="1" applyProtection="1">
      <alignment horizontal="center"/>
      <protection locked="0"/>
    </xf>
    <xf numFmtId="0" fontId="35" fillId="0" borderId="54" xfId="0" applyFont="1" applyBorder="1" applyAlignment="1">
      <alignment horizontal="left"/>
    </xf>
    <xf numFmtId="1" fontId="1" fillId="0" borderId="50" xfId="0" applyNumberFormat="1" applyFont="1" applyBorder="1" applyAlignment="1">
      <alignment horizontal="center"/>
    </xf>
    <xf numFmtId="0" fontId="58" fillId="0" borderId="18" xfId="0" applyFont="1" applyBorder="1" applyAlignment="1">
      <alignment horizontal="left"/>
    </xf>
    <xf numFmtId="1" fontId="60" fillId="0" borderId="13" xfId="0" applyNumberFormat="1" applyFont="1" applyBorder="1" applyAlignment="1">
      <alignment horizontal="center"/>
    </xf>
    <xf numFmtId="0" fontId="58" fillId="0" borderId="2" xfId="0" applyFont="1" applyFill="1" applyBorder="1"/>
    <xf numFmtId="164" fontId="60" fillId="0" borderId="1" xfId="0" applyNumberFormat="1" applyFont="1" applyBorder="1" applyAlignment="1">
      <alignment horizontal="center"/>
    </xf>
    <xf numFmtId="0" fontId="1" fillId="9" borderId="0" xfId="0" applyFont="1" applyFill="1" applyBorder="1" applyAlignment="1">
      <alignment horizontal="left"/>
    </xf>
    <xf numFmtId="1" fontId="0" fillId="0" borderId="75" xfId="0" applyNumberFormat="1" applyBorder="1" applyAlignment="1">
      <alignment horizontal="center"/>
    </xf>
    <xf numFmtId="1" fontId="60" fillId="0" borderId="17" xfId="0" applyNumberFormat="1" applyFont="1" applyBorder="1" applyAlignment="1">
      <alignment horizontal="center"/>
    </xf>
    <xf numFmtId="0" fontId="0" fillId="0" borderId="11" xfId="0" applyBorder="1" applyAlignment="1">
      <alignment horizontal="left"/>
    </xf>
    <xf numFmtId="165" fontId="0" fillId="0" borderId="24" xfId="0" applyNumberFormat="1" applyBorder="1" applyAlignment="1">
      <alignment horizontal="center"/>
    </xf>
    <xf numFmtId="0" fontId="0" fillId="0" borderId="19" xfId="0" applyBorder="1"/>
    <xf numFmtId="0" fontId="0" fillId="0" borderId="74" xfId="0" applyBorder="1"/>
    <xf numFmtId="0" fontId="32" fillId="12" borderId="33" xfId="0" applyFont="1" applyFill="1" applyBorder="1" applyAlignment="1">
      <alignment horizontal="left"/>
    </xf>
    <xf numFmtId="0" fontId="10" fillId="9" borderId="33" xfId="0" applyFont="1" applyFill="1" applyBorder="1" applyAlignment="1"/>
    <xf numFmtId="0" fontId="0" fillId="9" borderId="50" xfId="0" applyFill="1" applyBorder="1"/>
    <xf numFmtId="0" fontId="10" fillId="0" borderId="0" xfId="0" applyFont="1" applyAlignment="1">
      <alignment horizontal="right"/>
    </xf>
    <xf numFmtId="0" fontId="0" fillId="0" borderId="0" xfId="0" applyFill="1" applyAlignment="1"/>
    <xf numFmtId="9" fontId="0" fillId="0" borderId="0" xfId="2" applyFont="1" applyFill="1"/>
    <xf numFmtId="0" fontId="0" fillId="17" borderId="0" xfId="0" applyFill="1" applyBorder="1"/>
    <xf numFmtId="0" fontId="0" fillId="17" borderId="0" xfId="0" applyFill="1"/>
    <xf numFmtId="0" fontId="35" fillId="17" borderId="0" xfId="0" applyFont="1" applyFill="1" applyBorder="1" applyAlignment="1" applyProtection="1">
      <alignment horizontal="center"/>
      <protection locked="0"/>
    </xf>
    <xf numFmtId="0" fontId="0" fillId="17" borderId="0" xfId="0" applyFill="1" applyAlignment="1">
      <alignment horizontal="center"/>
    </xf>
    <xf numFmtId="0" fontId="0" fillId="17" borderId="0" xfId="0" applyFill="1" applyBorder="1" applyAlignment="1">
      <alignment horizontal="center"/>
    </xf>
    <xf numFmtId="0" fontId="0" fillId="3" borderId="1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4" xfId="0" applyFill="1" applyBorder="1" applyAlignment="1" applyProtection="1">
      <alignment horizontal="center"/>
      <protection locked="0"/>
    </xf>
    <xf numFmtId="0" fontId="49" fillId="17" borderId="0" xfId="0" applyFont="1" applyFill="1"/>
    <xf numFmtId="0" fontId="49" fillId="17" borderId="3" xfId="0" applyFont="1" applyFill="1" applyBorder="1"/>
    <xf numFmtId="0" fontId="61" fillId="17" borderId="0" xfId="0" applyFont="1" applyFill="1"/>
    <xf numFmtId="0" fontId="1" fillId="9" borderId="0" xfId="0" applyFont="1" applyFill="1" applyBorder="1"/>
    <xf numFmtId="164" fontId="0" fillId="0" borderId="24" xfId="0" applyNumberFormat="1" applyBorder="1" applyAlignment="1">
      <alignment horizontal="center"/>
    </xf>
    <xf numFmtId="164" fontId="9" fillId="9" borderId="0" xfId="0" applyNumberFormat="1" applyFont="1" applyFill="1" applyBorder="1" applyAlignment="1">
      <alignment horizontal="center"/>
    </xf>
    <xf numFmtId="164" fontId="9" fillId="0" borderId="0" xfId="0" applyNumberFormat="1" applyFont="1" applyFill="1" applyBorder="1" applyAlignment="1">
      <alignment horizontal="center"/>
    </xf>
    <xf numFmtId="0" fontId="0" fillId="0" borderId="10" xfId="0" applyBorder="1" applyAlignment="1"/>
    <xf numFmtId="0" fontId="10" fillId="3" borderId="50" xfId="0" applyFont="1" applyFill="1" applyBorder="1"/>
    <xf numFmtId="0" fontId="0" fillId="0" borderId="2" xfId="0" applyBorder="1"/>
    <xf numFmtId="0" fontId="10" fillId="3" borderId="26" xfId="0" applyFont="1" applyFill="1" applyBorder="1"/>
    <xf numFmtId="0" fontId="0" fillId="0" borderId="51" xfId="0" applyBorder="1" applyAlignment="1">
      <alignment horizontal="right"/>
    </xf>
    <xf numFmtId="0" fontId="0" fillId="0" borderId="6" xfId="0" applyBorder="1" applyAlignment="1">
      <alignment horizontal="right"/>
    </xf>
    <xf numFmtId="0" fontId="0" fillId="0" borderId="51" xfId="0" applyFill="1" applyBorder="1" applyAlignment="1">
      <alignment horizontal="right"/>
    </xf>
    <xf numFmtId="0" fontId="0" fillId="0" borderId="54" xfId="0" applyBorder="1" applyAlignment="1">
      <alignment horizontal="right"/>
    </xf>
    <xf numFmtId="0" fontId="0" fillId="0" borderId="56" xfId="0" applyBorder="1" applyAlignment="1">
      <alignment horizontal="right"/>
    </xf>
    <xf numFmtId="0" fontId="0" fillId="0" borderId="54" xfId="0" applyFill="1" applyBorder="1" applyAlignment="1">
      <alignment horizontal="right"/>
    </xf>
    <xf numFmtId="0" fontId="10" fillId="3" borderId="82" xfId="0" applyFont="1" applyFill="1" applyBorder="1"/>
    <xf numFmtId="0" fontId="10" fillId="3" borderId="21" xfId="0" applyFont="1" applyFill="1" applyBorder="1"/>
    <xf numFmtId="0" fontId="0" fillId="0" borderId="4" xfId="0" applyBorder="1"/>
    <xf numFmtId="0" fontId="6" fillId="0" borderId="6" xfId="0" applyFont="1" applyBorder="1" applyAlignment="1">
      <alignment horizontal="right" vertical="center"/>
    </xf>
    <xf numFmtId="1" fontId="6" fillId="0" borderId="1" xfId="0" applyNumberFormat="1" applyFont="1" applyBorder="1" applyAlignment="1">
      <alignment horizontal="center" vertical="center"/>
    </xf>
    <xf numFmtId="1" fontId="6" fillId="0" borderId="24" xfId="0" applyNumberFormat="1" applyFont="1" applyBorder="1" applyAlignment="1">
      <alignment horizontal="center" vertical="center"/>
    </xf>
    <xf numFmtId="1" fontId="6" fillId="0" borderId="13" xfId="0" applyNumberFormat="1" applyFont="1" applyBorder="1" applyAlignment="1">
      <alignment horizontal="center" vertical="center"/>
    </xf>
    <xf numFmtId="1" fontId="6" fillId="0" borderId="23" xfId="0" applyNumberFormat="1" applyFont="1" applyBorder="1" applyAlignment="1">
      <alignment horizontal="center" vertical="center"/>
    </xf>
    <xf numFmtId="0" fontId="6" fillId="0" borderId="81" xfId="0" applyFont="1" applyBorder="1" applyAlignment="1">
      <alignment horizontal="right" vertical="center"/>
    </xf>
    <xf numFmtId="0" fontId="10" fillId="3" borderId="11" xfId="0" applyFont="1" applyFill="1" applyBorder="1"/>
    <xf numFmtId="0" fontId="8" fillId="0" borderId="10" xfId="0" applyFont="1" applyBorder="1"/>
    <xf numFmtId="0" fontId="6" fillId="0" borderId="11" xfId="0" applyFont="1" applyBorder="1"/>
    <xf numFmtId="0" fontId="6" fillId="0" borderId="10" xfId="0" applyFont="1" applyBorder="1"/>
    <xf numFmtId="0" fontId="0" fillId="0" borderId="10" xfId="0" applyFill="1" applyBorder="1" applyAlignment="1"/>
    <xf numFmtId="1" fontId="1" fillId="9" borderId="24" xfId="0" applyNumberFormat="1" applyFont="1" applyFill="1" applyBorder="1" applyAlignment="1">
      <alignment horizontal="center"/>
    </xf>
    <xf numFmtId="164" fontId="9" fillId="0" borderId="4" xfId="0" applyNumberFormat="1" applyFont="1" applyFill="1" applyBorder="1" applyAlignment="1">
      <alignment horizontal="center"/>
    </xf>
    <xf numFmtId="0" fontId="0" fillId="0" borderId="0" xfId="0"/>
    <xf numFmtId="0" fontId="0" fillId="0" borderId="0" xfId="0" applyBorder="1"/>
    <xf numFmtId="0" fontId="0" fillId="0" borderId="0" xfId="0" applyFill="1"/>
    <xf numFmtId="0" fontId="0" fillId="0" borderId="15" xfId="0" applyBorder="1"/>
    <xf numFmtId="0" fontId="0" fillId="0" borderId="16" xfId="0" applyBorder="1"/>
    <xf numFmtId="0" fontId="0" fillId="0" borderId="17" xfId="0" applyBorder="1"/>
    <xf numFmtId="0" fontId="0" fillId="0" borderId="10" xfId="0" applyBorder="1"/>
    <xf numFmtId="0" fontId="0" fillId="2" borderId="1" xfId="0" applyFill="1" applyBorder="1" applyAlignment="1" applyProtection="1">
      <alignment horizontal="center"/>
      <protection locked="0"/>
    </xf>
    <xf numFmtId="0" fontId="0" fillId="2" borderId="24" xfId="0" applyFill="1" applyBorder="1" applyAlignment="1" applyProtection="1">
      <alignment horizontal="center"/>
      <protection locked="0"/>
    </xf>
    <xf numFmtId="0" fontId="0" fillId="0" borderId="28" xfId="0" applyBorder="1" applyAlignment="1">
      <alignment horizontal="left"/>
    </xf>
    <xf numFmtId="1" fontId="0" fillId="0" borderId="13" xfId="0" applyNumberFormat="1" applyBorder="1" applyAlignment="1">
      <alignment horizontal="center"/>
    </xf>
    <xf numFmtId="1" fontId="0" fillId="0" borderId="23" xfId="0" applyNumberFormat="1" applyBorder="1" applyAlignment="1">
      <alignment horizontal="center"/>
    </xf>
    <xf numFmtId="1" fontId="0" fillId="0" borderId="1" xfId="0" applyNumberFormat="1" applyBorder="1" applyAlignment="1">
      <alignment horizontal="center"/>
    </xf>
    <xf numFmtId="1" fontId="0" fillId="0" borderId="24" xfId="0" applyNumberFormat="1" applyBorder="1" applyAlignment="1">
      <alignment horizontal="center"/>
    </xf>
    <xf numFmtId="0" fontId="0" fillId="0" borderId="1" xfId="0" applyBorder="1" applyAlignment="1">
      <alignment horizontal="center"/>
    </xf>
    <xf numFmtId="0" fontId="0" fillId="0" borderId="24" xfId="0" applyBorder="1" applyAlignment="1">
      <alignment horizontal="center"/>
    </xf>
    <xf numFmtId="1" fontId="0" fillId="0" borderId="0" xfId="0" applyNumberFormat="1" applyBorder="1" applyAlignment="1">
      <alignment horizontal="center"/>
    </xf>
    <xf numFmtId="0" fontId="0" fillId="9" borderId="0" xfId="0" applyFill="1"/>
    <xf numFmtId="0" fontId="10" fillId="9" borderId="0" xfId="0" applyFont="1" applyFill="1" applyBorder="1"/>
    <xf numFmtId="0" fontId="0" fillId="9" borderId="0" xfId="0" applyFill="1" applyBorder="1"/>
    <xf numFmtId="0" fontId="0" fillId="9" borderId="1" xfId="0" applyFill="1" applyBorder="1" applyAlignment="1">
      <alignment horizontal="center"/>
    </xf>
    <xf numFmtId="0" fontId="0" fillId="9" borderId="0" xfId="0" applyFill="1" applyAlignment="1">
      <alignment horizontal="center"/>
    </xf>
    <xf numFmtId="164" fontId="0" fillId="9" borderId="0" xfId="0" applyNumberFormat="1" applyFill="1" applyAlignment="1">
      <alignment horizontal="center"/>
    </xf>
    <xf numFmtId="1" fontId="0" fillId="0" borderId="1" xfId="0" applyNumberFormat="1" applyFill="1" applyBorder="1" applyAlignment="1">
      <alignment horizontal="center"/>
    </xf>
    <xf numFmtId="2" fontId="28" fillId="2" borderId="39" xfId="0" applyNumberFormat="1" applyFont="1" applyFill="1" applyBorder="1" applyAlignment="1" applyProtection="1">
      <alignment horizontal="center"/>
      <protection locked="0"/>
    </xf>
    <xf numFmtId="0" fontId="0" fillId="3" borderId="9" xfId="0" applyFill="1" applyBorder="1"/>
    <xf numFmtId="0" fontId="10" fillId="3" borderId="19" xfId="0" applyFont="1" applyFill="1" applyBorder="1"/>
    <xf numFmtId="0" fontId="10" fillId="3" borderId="20" xfId="0" applyFont="1" applyFill="1" applyBorder="1"/>
    <xf numFmtId="0" fontId="10" fillId="3" borderId="21" xfId="0" applyFont="1" applyFill="1" applyBorder="1" applyAlignment="1">
      <alignment horizontal="center"/>
    </xf>
    <xf numFmtId="0" fontId="10" fillId="3" borderId="22" xfId="0" applyFont="1" applyFill="1" applyBorder="1" applyAlignment="1">
      <alignment horizontal="center"/>
    </xf>
    <xf numFmtId="0" fontId="10" fillId="3" borderId="27" xfId="0" applyFont="1" applyFill="1" applyBorder="1" applyAlignment="1">
      <alignment horizontal="center"/>
    </xf>
    <xf numFmtId="0" fontId="0" fillId="9" borderId="10" xfId="0" applyFill="1" applyBorder="1"/>
    <xf numFmtId="1" fontId="1" fillId="0" borderId="1" xfId="0" applyNumberFormat="1" applyFont="1" applyFill="1" applyBorder="1" applyAlignment="1">
      <alignment horizontal="center"/>
    </xf>
    <xf numFmtId="1" fontId="0" fillId="0" borderId="24" xfId="0" applyNumberFormat="1" applyFill="1" applyBorder="1" applyAlignment="1">
      <alignment horizontal="center"/>
    </xf>
    <xf numFmtId="9" fontId="0" fillId="2" borderId="24" xfId="2" applyFont="1" applyFill="1" applyBorder="1" applyAlignment="1" applyProtection="1">
      <alignment horizontal="center"/>
      <protection locked="0"/>
    </xf>
    <xf numFmtId="2" fontId="28" fillId="2" borderId="43" xfId="0" applyNumberFormat="1" applyFont="1" applyFill="1" applyBorder="1" applyAlignment="1" applyProtection="1">
      <alignment horizontal="center"/>
      <protection locked="0"/>
    </xf>
    <xf numFmtId="0" fontId="10" fillId="3" borderId="12" xfId="0" applyFont="1" applyFill="1" applyBorder="1"/>
    <xf numFmtId="0" fontId="24" fillId="9" borderId="0" xfId="0" applyFont="1" applyFill="1" applyBorder="1"/>
    <xf numFmtId="2" fontId="1" fillId="0" borderId="13" xfId="0" applyNumberFormat="1" applyFont="1" applyBorder="1" applyAlignment="1">
      <alignment horizontal="center"/>
    </xf>
    <xf numFmtId="1" fontId="0" fillId="0" borderId="40" xfId="0" applyNumberFormat="1" applyBorder="1" applyAlignment="1">
      <alignment horizontal="center"/>
    </xf>
    <xf numFmtId="0" fontId="24" fillId="9" borderId="17" xfId="0" applyFont="1" applyFill="1" applyBorder="1"/>
    <xf numFmtId="2" fontId="0" fillId="0" borderId="24" xfId="0" applyNumberFormat="1" applyBorder="1" applyAlignment="1">
      <alignment horizontal="center"/>
    </xf>
    <xf numFmtId="1" fontId="1" fillId="0" borderId="24" xfId="0" applyNumberFormat="1" applyFont="1" applyFill="1" applyBorder="1" applyAlignment="1">
      <alignment horizontal="center"/>
    </xf>
    <xf numFmtId="0" fontId="1" fillId="2" borderId="1" xfId="0" applyFont="1" applyFill="1" applyBorder="1" applyAlignment="1" applyProtection="1">
      <alignment horizontal="center"/>
      <protection locked="0"/>
    </xf>
    <xf numFmtId="0" fontId="1" fillId="2" borderId="24" xfId="0" applyFont="1" applyFill="1" applyBorder="1" applyAlignment="1" applyProtection="1">
      <alignment horizontal="center"/>
      <protection locked="0"/>
    </xf>
    <xf numFmtId="2" fontId="0" fillId="0" borderId="1" xfId="0" applyNumberFormat="1" applyBorder="1" applyAlignment="1">
      <alignment horizontal="center"/>
    </xf>
    <xf numFmtId="164" fontId="1" fillId="0" borderId="1" xfId="0" applyNumberFormat="1" applyFont="1" applyBorder="1" applyAlignment="1">
      <alignment horizontal="center"/>
    </xf>
    <xf numFmtId="0" fontId="0" fillId="9" borderId="17" xfId="0" applyFill="1" applyBorder="1"/>
    <xf numFmtId="0" fontId="0" fillId="3" borderId="17" xfId="0" applyFill="1" applyBorder="1"/>
    <xf numFmtId="1" fontId="0" fillId="0" borderId="38" xfId="0" applyNumberFormat="1" applyBorder="1" applyAlignment="1">
      <alignment horizontal="center"/>
    </xf>
    <xf numFmtId="0" fontId="0" fillId="0" borderId="29" xfId="0" applyBorder="1" applyAlignment="1">
      <alignment horizontal="right"/>
    </xf>
    <xf numFmtId="1" fontId="0" fillId="0" borderId="17" xfId="0" applyNumberFormat="1" applyBorder="1" applyAlignment="1">
      <alignment horizontal="center"/>
    </xf>
    <xf numFmtId="0" fontId="0" fillId="0" borderId="17" xfId="0" applyBorder="1" applyAlignment="1">
      <alignment horizontal="center"/>
    </xf>
    <xf numFmtId="9" fontId="0" fillId="2" borderId="13" xfId="2" applyFont="1" applyFill="1" applyBorder="1" applyAlignment="1" applyProtection="1">
      <alignment horizontal="center"/>
      <protection locked="0"/>
    </xf>
    <xf numFmtId="9" fontId="0" fillId="2" borderId="13" xfId="2" applyFont="1" applyFill="1" applyBorder="1" applyAlignment="1" applyProtection="1">
      <alignment horizontal="center" vertical="center"/>
      <protection locked="0"/>
    </xf>
    <xf numFmtId="0" fontId="10" fillId="3" borderId="34" xfId="0" applyFont="1" applyFill="1" applyBorder="1" applyAlignment="1">
      <alignment horizontal="center"/>
    </xf>
    <xf numFmtId="0" fontId="10" fillId="3" borderId="25" xfId="0" applyFont="1" applyFill="1" applyBorder="1"/>
    <xf numFmtId="9" fontId="0" fillId="2" borderId="24" xfId="2" applyFont="1" applyFill="1" applyBorder="1" applyAlignment="1" applyProtection="1">
      <alignment horizontal="center" vertical="center"/>
      <protection locked="0"/>
    </xf>
    <xf numFmtId="0" fontId="0" fillId="0" borderId="52" xfId="0" applyBorder="1"/>
    <xf numFmtId="9" fontId="0" fillId="0" borderId="1" xfId="2" applyFont="1" applyBorder="1" applyAlignment="1" applyProtection="1">
      <alignment horizontal="center" vertical="center"/>
    </xf>
    <xf numFmtId="1" fontId="0" fillId="0" borderId="41" xfId="0" applyNumberFormat="1" applyBorder="1" applyAlignment="1">
      <alignment horizontal="center"/>
    </xf>
    <xf numFmtId="2" fontId="1" fillId="0" borderId="23" xfId="0" applyNumberFormat="1" applyFont="1" applyBorder="1" applyAlignment="1">
      <alignment horizontal="center"/>
    </xf>
    <xf numFmtId="0" fontId="24" fillId="9" borderId="10" xfId="0" applyFont="1" applyFill="1" applyBorder="1"/>
    <xf numFmtId="0" fontId="24" fillId="9" borderId="10" xfId="0" applyFont="1" applyFill="1" applyBorder="1" applyAlignment="1">
      <alignment horizontal="left"/>
    </xf>
    <xf numFmtId="0" fontId="38" fillId="0" borderId="10" xfId="0" applyFont="1" applyBorder="1"/>
    <xf numFmtId="0" fontId="10" fillId="2" borderId="13" xfId="0" applyFont="1" applyFill="1" applyBorder="1" applyAlignment="1" applyProtection="1">
      <alignment horizontal="center"/>
      <protection locked="0"/>
    </xf>
    <xf numFmtId="164" fontId="0" fillId="0" borderId="1" xfId="0" applyNumberFormat="1" applyBorder="1" applyAlignment="1">
      <alignment horizontal="center"/>
    </xf>
    <xf numFmtId="0" fontId="10" fillId="0" borderId="0" xfId="0" applyFont="1" applyFill="1" applyBorder="1"/>
    <xf numFmtId="0" fontId="10" fillId="3" borderId="10" xfId="0" applyFont="1" applyFill="1" applyBorder="1"/>
    <xf numFmtId="164" fontId="1" fillId="0" borderId="24" xfId="0" applyNumberFormat="1" applyFont="1" applyBorder="1" applyAlignment="1">
      <alignment horizontal="center"/>
    </xf>
    <xf numFmtId="0" fontId="0" fillId="0" borderId="10" xfId="0" applyBorder="1" applyAlignment="1" applyProtection="1">
      <alignment horizontal="left"/>
      <protection locked="0"/>
    </xf>
    <xf numFmtId="0" fontId="0" fillId="0" borderId="10" xfId="0" applyFill="1" applyBorder="1"/>
    <xf numFmtId="1" fontId="1" fillId="0" borderId="48" xfId="0" applyNumberFormat="1" applyFont="1" applyBorder="1" applyAlignment="1">
      <alignment horizontal="center"/>
    </xf>
    <xf numFmtId="1" fontId="1" fillId="0" borderId="35" xfId="0" applyNumberFormat="1" applyFont="1" applyBorder="1" applyAlignment="1">
      <alignment horizontal="center"/>
    </xf>
    <xf numFmtId="1" fontId="0" fillId="4" borderId="1" xfId="0" applyNumberFormat="1" applyFill="1" applyBorder="1" applyAlignment="1">
      <alignment horizontal="center"/>
    </xf>
    <xf numFmtId="0" fontId="37" fillId="4" borderId="1" xfId="0" quotePrefix="1" applyFont="1" applyFill="1" applyBorder="1" applyAlignment="1" applyProtection="1">
      <alignment horizontal="center"/>
      <protection locked="0"/>
    </xf>
    <xf numFmtId="0" fontId="10" fillId="0" borderId="0" xfId="0" applyFont="1" applyFill="1" applyBorder="1" applyAlignment="1">
      <alignment vertical="center" wrapText="1"/>
    </xf>
    <xf numFmtId="0" fontId="33" fillId="0" borderId="0" xfId="0" applyFont="1" applyFill="1" applyBorder="1" applyAlignment="1"/>
    <xf numFmtId="0" fontId="10" fillId="0" borderId="4" xfId="0" applyFont="1" applyFill="1" applyBorder="1" applyAlignment="1"/>
    <xf numFmtId="0" fontId="10" fillId="0" borderId="4" xfId="0" applyFont="1" applyFill="1" applyBorder="1" applyAlignment="1">
      <alignment vertical="center" wrapText="1"/>
    </xf>
    <xf numFmtId="0" fontId="0" fillId="0" borderId="60" xfId="0" applyFill="1" applyBorder="1"/>
    <xf numFmtId="0" fontId="0" fillId="0" borderId="59" xfId="0" applyFill="1" applyBorder="1"/>
    <xf numFmtId="0" fontId="10" fillId="2" borderId="24" xfId="0" applyFont="1" applyFill="1" applyBorder="1" applyAlignment="1" applyProtection="1">
      <alignment horizontal="center"/>
      <protection locked="0"/>
    </xf>
    <xf numFmtId="0" fontId="10" fillId="2" borderId="23" xfId="0" applyFont="1" applyFill="1" applyBorder="1" applyAlignment="1" applyProtection="1">
      <alignment horizontal="center"/>
      <protection locked="0"/>
    </xf>
    <xf numFmtId="0" fontId="37" fillId="4" borderId="24" xfId="0" quotePrefix="1" applyFont="1" applyFill="1" applyBorder="1" applyAlignment="1" applyProtection="1">
      <alignment horizontal="center"/>
      <protection locked="0"/>
    </xf>
    <xf numFmtId="2" fontId="0" fillId="0" borderId="23" xfId="0" applyNumberFormat="1" applyBorder="1" applyAlignment="1">
      <alignment horizontal="center"/>
    </xf>
    <xf numFmtId="0" fontId="0" fillId="0" borderId="17" xfId="0" applyFill="1" applyBorder="1"/>
    <xf numFmtId="0" fontId="28" fillId="0" borderId="10" xfId="0" applyFont="1" applyFill="1" applyBorder="1"/>
    <xf numFmtId="0" fontId="0" fillId="0" borderId="58" xfId="0" applyBorder="1" applyAlignment="1">
      <alignment horizontal="left"/>
    </xf>
    <xf numFmtId="0" fontId="1" fillId="0" borderId="42" xfId="0" applyFont="1" applyBorder="1" applyAlignment="1">
      <alignment horizontal="left"/>
    </xf>
    <xf numFmtId="1" fontId="0" fillId="0" borderId="4" xfId="0" applyNumberFormat="1" applyBorder="1" applyAlignment="1">
      <alignment horizontal="center"/>
    </xf>
    <xf numFmtId="0" fontId="0" fillId="0" borderId="0" xfId="0" applyBorder="1" applyProtection="1">
      <protection locked="0"/>
    </xf>
    <xf numFmtId="1" fontId="0" fillId="2" borderId="13" xfId="0" applyNumberFormat="1" applyFill="1" applyBorder="1" applyAlignment="1" applyProtection="1">
      <alignment horizontal="center"/>
      <protection locked="0"/>
    </xf>
    <xf numFmtId="1" fontId="0" fillId="2" borderId="23" xfId="0" applyNumberFormat="1" applyFill="1" applyBorder="1" applyAlignment="1" applyProtection="1">
      <alignment horizontal="center"/>
      <protection locked="0"/>
    </xf>
    <xf numFmtId="1" fontId="0" fillId="2" borderId="1" xfId="0" applyNumberFormat="1" applyFill="1" applyBorder="1" applyAlignment="1" applyProtection="1">
      <alignment horizontal="center"/>
      <protection locked="0"/>
    </xf>
    <xf numFmtId="1" fontId="0" fillId="2" borderId="24" xfId="0" applyNumberFormat="1" applyFill="1" applyBorder="1" applyAlignment="1" applyProtection="1">
      <alignment horizontal="center"/>
      <protection locked="0"/>
    </xf>
    <xf numFmtId="0" fontId="35" fillId="11" borderId="1" xfId="0" applyFont="1" applyFill="1" applyBorder="1" applyAlignment="1" applyProtection="1">
      <alignment horizontal="center"/>
      <protection locked="0"/>
    </xf>
    <xf numFmtId="2" fontId="0" fillId="0" borderId="13" xfId="0" applyNumberFormat="1" applyBorder="1" applyAlignment="1">
      <alignment horizontal="center"/>
    </xf>
    <xf numFmtId="1" fontId="0" fillId="9" borderId="51" xfId="0" applyNumberFormat="1" applyFill="1" applyBorder="1" applyAlignment="1">
      <alignment horizontal="center"/>
    </xf>
    <xf numFmtId="1" fontId="0" fillId="9" borderId="13" xfId="0" applyNumberFormat="1" applyFill="1" applyBorder="1" applyAlignment="1">
      <alignment horizontal="center"/>
    </xf>
    <xf numFmtId="1" fontId="0" fillId="9" borderId="40" xfId="0" applyNumberFormat="1" applyFill="1" applyBorder="1" applyAlignment="1">
      <alignment horizontal="center"/>
    </xf>
    <xf numFmtId="2" fontId="1" fillId="9" borderId="13" xfId="0" applyNumberFormat="1" applyFont="1" applyFill="1" applyBorder="1" applyAlignment="1">
      <alignment horizontal="center"/>
    </xf>
    <xf numFmtId="164" fontId="1" fillId="9" borderId="1" xfId="0" applyNumberFormat="1" applyFont="1" applyFill="1" applyBorder="1" applyAlignment="1">
      <alignment horizontal="center"/>
    </xf>
    <xf numFmtId="1" fontId="0" fillId="9" borderId="1" xfId="0" applyNumberFormat="1" applyFill="1" applyBorder="1" applyAlignment="1">
      <alignment horizontal="center"/>
    </xf>
    <xf numFmtId="1" fontId="0" fillId="9" borderId="23" xfId="0" applyNumberFormat="1" applyFill="1" applyBorder="1" applyAlignment="1">
      <alignment horizontal="center"/>
    </xf>
    <xf numFmtId="1" fontId="0" fillId="9" borderId="41" xfId="0" applyNumberFormat="1" applyFill="1" applyBorder="1" applyAlignment="1">
      <alignment horizontal="center"/>
    </xf>
    <xf numFmtId="0" fontId="0" fillId="9" borderId="24" xfId="0" applyFill="1" applyBorder="1" applyAlignment="1">
      <alignment horizontal="center"/>
    </xf>
    <xf numFmtId="0" fontId="0" fillId="2" borderId="40" xfId="2" applyNumberFormat="1" applyFont="1" applyFill="1" applyBorder="1" applyAlignment="1" applyProtection="1">
      <alignment horizontal="center"/>
      <protection locked="0"/>
    </xf>
    <xf numFmtId="0" fontId="0" fillId="2" borderId="41" xfId="2" applyNumberFormat="1" applyFont="1" applyFill="1" applyBorder="1" applyAlignment="1" applyProtection="1">
      <alignment horizontal="center"/>
      <protection locked="0"/>
    </xf>
    <xf numFmtId="1" fontId="1" fillId="9" borderId="1" xfId="0" applyNumberFormat="1" applyFont="1" applyFill="1" applyBorder="1" applyAlignment="1">
      <alignment horizontal="center"/>
    </xf>
    <xf numFmtId="0" fontId="57" fillId="9" borderId="46" xfId="0" applyFont="1" applyFill="1" applyBorder="1" applyAlignment="1">
      <alignment horizontal="center"/>
    </xf>
    <xf numFmtId="0" fontId="57" fillId="9" borderId="51" xfId="0" applyFont="1" applyFill="1" applyBorder="1" applyAlignment="1">
      <alignment horizontal="center"/>
    </xf>
    <xf numFmtId="0" fontId="57" fillId="0" borderId="4" xfId="0" applyFont="1" applyFill="1" applyBorder="1" applyAlignment="1">
      <alignment horizontal="center"/>
    </xf>
    <xf numFmtId="0" fontId="57" fillId="0" borderId="51" xfId="0" applyFont="1" applyFill="1" applyBorder="1" applyAlignment="1">
      <alignment horizontal="center"/>
    </xf>
    <xf numFmtId="0" fontId="57" fillId="9" borderId="4" xfId="0" applyFont="1" applyFill="1" applyBorder="1" applyAlignment="1">
      <alignment horizontal="center"/>
    </xf>
    <xf numFmtId="0" fontId="57" fillId="0" borderId="46" xfId="0" applyFont="1" applyFill="1" applyBorder="1" applyAlignment="1">
      <alignment horizontal="center"/>
    </xf>
    <xf numFmtId="0" fontId="57" fillId="9" borderId="52" xfId="0" applyFont="1" applyFill="1" applyBorder="1" applyAlignment="1">
      <alignment horizontal="center"/>
    </xf>
    <xf numFmtId="0" fontId="57" fillId="0" borderId="52" xfId="0" applyFont="1" applyFill="1" applyBorder="1" applyAlignment="1">
      <alignment horizontal="center"/>
    </xf>
    <xf numFmtId="0" fontId="57" fillId="0" borderId="47" xfId="0" applyFont="1" applyFill="1" applyBorder="1" applyAlignment="1">
      <alignment horizontal="right"/>
    </xf>
    <xf numFmtId="0" fontId="13" fillId="0" borderId="47" xfId="0" applyFont="1" applyBorder="1" applyAlignment="1">
      <alignment horizontal="left"/>
    </xf>
    <xf numFmtId="164" fontId="59" fillId="9" borderId="5" xfId="0" applyNumberFormat="1" applyFont="1" applyFill="1" applyBorder="1" applyAlignment="1">
      <alignment horizontal="center"/>
    </xf>
    <xf numFmtId="1" fontId="59" fillId="9" borderId="33" xfId="0" applyNumberFormat="1" applyFont="1" applyFill="1" applyBorder="1" applyAlignment="1">
      <alignment horizontal="center"/>
    </xf>
    <xf numFmtId="1" fontId="59" fillId="0" borderId="33" xfId="0" applyNumberFormat="1" applyFont="1" applyBorder="1" applyAlignment="1">
      <alignment horizontal="center"/>
    </xf>
    <xf numFmtId="1" fontId="59" fillId="0" borderId="32" xfId="0" applyNumberFormat="1" applyFont="1" applyBorder="1" applyAlignment="1">
      <alignment horizontal="center"/>
    </xf>
    <xf numFmtId="1" fontId="59" fillId="9" borderId="5" xfId="0" applyNumberFormat="1" applyFont="1" applyFill="1" applyBorder="1" applyAlignment="1">
      <alignment horizontal="center"/>
    </xf>
    <xf numFmtId="1" fontId="59" fillId="9" borderId="49" xfId="0" applyNumberFormat="1" applyFont="1" applyFill="1" applyBorder="1" applyAlignment="1">
      <alignment horizontal="center"/>
    </xf>
    <xf numFmtId="1" fontId="59" fillId="9" borderId="19" xfId="0" applyNumberFormat="1" applyFont="1" applyFill="1" applyBorder="1" applyAlignment="1">
      <alignment horizontal="center"/>
    </xf>
    <xf numFmtId="0" fontId="35" fillId="0" borderId="10" xfId="0" applyFont="1" applyBorder="1" applyAlignment="1">
      <alignment horizontal="left"/>
    </xf>
    <xf numFmtId="1" fontId="59" fillId="9" borderId="32" xfId="0" applyNumberFormat="1" applyFont="1" applyFill="1" applyBorder="1" applyAlignment="1">
      <alignment horizontal="center"/>
    </xf>
    <xf numFmtId="1" fontId="0" fillId="0" borderId="13" xfId="0" applyNumberFormat="1" applyFill="1" applyBorder="1" applyAlignment="1">
      <alignment horizontal="center"/>
    </xf>
    <xf numFmtId="1" fontId="0" fillId="0" borderId="40" xfId="0" applyNumberFormat="1" applyFill="1" applyBorder="1" applyAlignment="1">
      <alignment horizontal="center"/>
    </xf>
    <xf numFmtId="2" fontId="1" fillId="0" borderId="13" xfId="0" applyNumberFormat="1" applyFont="1" applyFill="1" applyBorder="1" applyAlignment="1">
      <alignment horizontal="center"/>
    </xf>
    <xf numFmtId="164" fontId="1" fillId="0" borderId="1" xfId="0" applyNumberFormat="1" applyFont="1" applyFill="1" applyBorder="1" applyAlignment="1">
      <alignment horizontal="center"/>
    </xf>
    <xf numFmtId="0" fontId="0" fillId="0" borderId="1" xfId="0" applyFill="1" applyBorder="1" applyAlignment="1">
      <alignment horizontal="center"/>
    </xf>
    <xf numFmtId="164" fontId="59" fillId="0" borderId="5" xfId="0" applyNumberFormat="1" applyFont="1" applyFill="1" applyBorder="1" applyAlignment="1">
      <alignment horizontal="center"/>
    </xf>
    <xf numFmtId="1" fontId="59" fillId="0" borderId="49" xfId="0" applyNumberFormat="1" applyFont="1" applyFill="1" applyBorder="1" applyAlignment="1">
      <alignment horizontal="center"/>
    </xf>
    <xf numFmtId="1" fontId="0" fillId="0" borderId="19" xfId="0" applyNumberFormat="1" applyBorder="1" applyAlignment="1">
      <alignment horizontal="center"/>
    </xf>
    <xf numFmtId="1" fontId="0" fillId="0" borderId="52" xfId="0" applyNumberFormat="1" applyBorder="1" applyAlignment="1">
      <alignment horizontal="center"/>
    </xf>
    <xf numFmtId="9" fontId="0" fillId="0" borderId="24" xfId="2" applyFont="1" applyBorder="1" applyAlignment="1" applyProtection="1">
      <alignment horizontal="center" vertical="center"/>
    </xf>
    <xf numFmtId="2" fontId="1" fillId="9" borderId="75" xfId="0" applyNumberFormat="1" applyFont="1" applyFill="1" applyBorder="1" applyAlignment="1">
      <alignment horizontal="center"/>
    </xf>
    <xf numFmtId="164" fontId="1" fillId="9" borderId="24" xfId="0" applyNumberFormat="1" applyFont="1" applyFill="1" applyBorder="1" applyAlignment="1">
      <alignment horizontal="center"/>
    </xf>
    <xf numFmtId="1" fontId="0" fillId="4" borderId="24" xfId="0" applyNumberFormat="1" applyFill="1" applyBorder="1" applyAlignment="1">
      <alignment horizontal="center"/>
    </xf>
    <xf numFmtId="165" fontId="0" fillId="0" borderId="13" xfId="0" applyNumberFormat="1" applyBorder="1" applyAlignment="1" applyProtection="1">
      <alignment horizontal="center" vertical="center"/>
    </xf>
    <xf numFmtId="165" fontId="0" fillId="0" borderId="75" xfId="0" applyNumberFormat="1" applyBorder="1" applyAlignment="1" applyProtection="1">
      <alignment horizontal="center" vertical="center"/>
    </xf>
    <xf numFmtId="165" fontId="0" fillId="0" borderId="1" xfId="0" applyNumberFormat="1" applyBorder="1" applyAlignment="1" applyProtection="1">
      <alignment horizontal="center"/>
    </xf>
    <xf numFmtId="165" fontId="0" fillId="0" borderId="24" xfId="0" applyNumberFormat="1" applyBorder="1" applyAlignment="1" applyProtection="1">
      <alignment horizontal="center"/>
    </xf>
    <xf numFmtId="164" fontId="9" fillId="9" borderId="4" xfId="0" applyNumberFormat="1" applyFont="1" applyFill="1" applyBorder="1" applyAlignment="1">
      <alignment horizontal="center"/>
    </xf>
    <xf numFmtId="0" fontId="0" fillId="0" borderId="11" xfId="0" applyBorder="1" applyAlignment="1"/>
    <xf numFmtId="0" fontId="0" fillId="4" borderId="1" xfId="0" applyFill="1" applyBorder="1" applyAlignment="1">
      <alignment horizontal="center"/>
    </xf>
    <xf numFmtId="0" fontId="0" fillId="4" borderId="24" xfId="0" applyFill="1" applyBorder="1" applyAlignment="1">
      <alignment horizontal="center"/>
    </xf>
    <xf numFmtId="0" fontId="0" fillId="3" borderId="0" xfId="0" applyFill="1" applyBorder="1"/>
    <xf numFmtId="0" fontId="0" fillId="0" borderId="83" xfId="0" applyBorder="1" applyAlignment="1">
      <alignment horizontal="right"/>
    </xf>
    <xf numFmtId="0" fontId="0" fillId="0" borderId="18" xfId="0" applyBorder="1" applyAlignment="1">
      <alignment horizontal="right"/>
    </xf>
    <xf numFmtId="0" fontId="0" fillId="0" borderId="0" xfId="0" applyFill="1" applyBorder="1"/>
    <xf numFmtId="0" fontId="6" fillId="0" borderId="17" xfId="0" applyFont="1" applyBorder="1" applyAlignment="1">
      <alignment horizontal="right"/>
    </xf>
    <xf numFmtId="0" fontId="0" fillId="0" borderId="17" xfId="0" applyBorder="1" applyAlignment="1">
      <alignment horizontal="right"/>
    </xf>
    <xf numFmtId="0" fontId="0" fillId="0" borderId="13" xfId="0" applyFill="1" applyBorder="1" applyAlignment="1" applyProtection="1">
      <alignment horizontal="center"/>
    </xf>
    <xf numFmtId="0" fontId="0" fillId="0" borderId="51" xfId="0" applyFill="1" applyBorder="1" applyAlignment="1" applyProtection="1">
      <alignment horizontal="center"/>
    </xf>
    <xf numFmtId="0" fontId="0" fillId="0" borderId="4" xfId="0" applyFill="1" applyBorder="1" applyAlignment="1" applyProtection="1">
      <alignment horizontal="center"/>
    </xf>
    <xf numFmtId="0" fontId="0" fillId="0" borderId="1" xfId="0" applyFill="1" applyBorder="1" applyAlignment="1" applyProtection="1">
      <alignment horizontal="center"/>
    </xf>
    <xf numFmtId="0" fontId="10" fillId="3" borderId="0" xfId="0" applyFont="1" applyFill="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10" xfId="0" applyBorder="1" applyAlignment="1">
      <alignment horizontal="left"/>
    </xf>
    <xf numFmtId="0" fontId="1" fillId="0" borderId="10" xfId="0" applyFont="1" applyBorder="1" applyAlignment="1">
      <alignment horizontal="left"/>
    </xf>
    <xf numFmtId="0" fontId="10" fillId="3" borderId="26" xfId="0" applyFont="1" applyFill="1" applyBorder="1" applyAlignment="1">
      <alignment horizontal="center"/>
    </xf>
    <xf numFmtId="0" fontId="0" fillId="0" borderId="10" xfId="0" applyBorder="1" applyAlignment="1">
      <alignment horizontal="right"/>
    </xf>
    <xf numFmtId="0" fontId="10" fillId="3" borderId="8" xfId="0" applyFont="1" applyFill="1" applyBorder="1"/>
    <xf numFmtId="0" fontId="0" fillId="0" borderId="54" xfId="0" applyBorder="1"/>
    <xf numFmtId="0" fontId="10" fillId="3" borderId="18" xfId="0" applyFont="1" applyFill="1" applyBorder="1"/>
    <xf numFmtId="0" fontId="35" fillId="11" borderId="75" xfId="0" applyFont="1" applyFill="1" applyBorder="1" applyAlignment="1" applyProtection="1">
      <alignment horizontal="center"/>
      <protection locked="0"/>
    </xf>
    <xf numFmtId="0" fontId="10" fillId="9" borderId="10" xfId="0" applyFont="1" applyFill="1" applyBorder="1"/>
    <xf numFmtId="0" fontId="0" fillId="0" borderId="28" xfId="0" applyBorder="1" applyAlignment="1">
      <alignment horizontal="right"/>
    </xf>
    <xf numFmtId="0" fontId="0" fillId="0" borderId="13" xfId="0" applyFill="1" applyBorder="1" applyAlignment="1" applyProtection="1">
      <alignment horizontal="center"/>
      <protection locked="0"/>
    </xf>
    <xf numFmtId="0" fontId="0" fillId="0" borderId="51" xfId="0" applyFill="1" applyBorder="1" applyAlignment="1" applyProtection="1">
      <alignment horizontal="center"/>
      <protection locked="0"/>
    </xf>
    <xf numFmtId="0" fontId="0" fillId="0" borderId="4" xfId="0" applyFill="1" applyBorder="1" applyAlignment="1" applyProtection="1">
      <alignment horizontal="center"/>
      <protection locked="0"/>
    </xf>
    <xf numFmtId="0" fontId="0" fillId="0" borderId="51" xfId="0" applyFill="1" applyBorder="1" applyAlignment="1">
      <alignment horizontal="center"/>
    </xf>
    <xf numFmtId="0" fontId="10" fillId="3" borderId="57" xfId="0" applyFont="1" applyFill="1" applyBorder="1"/>
    <xf numFmtId="0" fontId="35" fillId="11" borderId="24" xfId="0" applyFont="1" applyFill="1" applyBorder="1" applyAlignment="1" applyProtection="1">
      <alignment horizontal="center"/>
      <protection locked="0"/>
    </xf>
    <xf numFmtId="0" fontId="0" fillId="0" borderId="28" xfId="0" applyFill="1" applyBorder="1" applyAlignment="1">
      <alignment horizontal="right"/>
    </xf>
    <xf numFmtId="0" fontId="1" fillId="3" borderId="45" xfId="0" applyFont="1" applyFill="1" applyBorder="1" applyAlignment="1">
      <alignment horizontal="left" wrapText="1"/>
    </xf>
    <xf numFmtId="0" fontId="10" fillId="3" borderId="25" xfId="0" applyFont="1" applyFill="1" applyBorder="1" applyAlignment="1">
      <alignment horizontal="left"/>
    </xf>
    <xf numFmtId="0" fontId="0" fillId="0" borderId="29" xfId="0" applyBorder="1" applyAlignment="1">
      <alignment horizontal="left" vertical="center"/>
    </xf>
    <xf numFmtId="0" fontId="0" fillId="0" borderId="28" xfId="0" applyBorder="1" applyAlignment="1">
      <alignment horizontal="left" vertical="center"/>
    </xf>
    <xf numFmtId="0" fontId="23" fillId="9" borderId="0" xfId="0" applyFont="1" applyFill="1" applyBorder="1" applyAlignment="1"/>
    <xf numFmtId="0" fontId="50" fillId="3" borderId="84" xfId="0" applyFont="1" applyFill="1" applyBorder="1"/>
    <xf numFmtId="0" fontId="0" fillId="0" borderId="47" xfId="0" applyBorder="1" applyAlignment="1">
      <alignment horizontal="left"/>
    </xf>
    <xf numFmtId="0" fontId="1" fillId="0" borderId="47" xfId="0" applyFont="1" applyBorder="1" applyAlignment="1">
      <alignment horizontal="left"/>
    </xf>
    <xf numFmtId="0" fontId="58" fillId="0" borderId="47" xfId="0" applyFont="1" applyBorder="1" applyAlignment="1">
      <alignment horizontal="left"/>
    </xf>
    <xf numFmtId="0" fontId="58" fillId="0" borderId="28" xfId="0" applyFont="1" applyBorder="1" applyAlignment="1">
      <alignment horizontal="left"/>
    </xf>
    <xf numFmtId="1" fontId="0" fillId="9" borderId="24" xfId="0" applyNumberFormat="1" applyFill="1" applyBorder="1" applyAlignment="1">
      <alignment horizontal="center"/>
    </xf>
    <xf numFmtId="1" fontId="1" fillId="0" borderId="7" xfId="0" applyNumberFormat="1" applyFont="1" applyFill="1" applyBorder="1" applyAlignment="1">
      <alignment horizontal="center"/>
    </xf>
    <xf numFmtId="1" fontId="1" fillId="9" borderId="7" xfId="0" applyNumberFormat="1" applyFont="1" applyFill="1" applyBorder="1" applyAlignment="1">
      <alignment horizontal="center"/>
    </xf>
    <xf numFmtId="1" fontId="1" fillId="9" borderId="72" xfId="0" applyNumberFormat="1" applyFont="1" applyFill="1" applyBorder="1" applyAlignment="1">
      <alignment horizontal="center"/>
    </xf>
    <xf numFmtId="0" fontId="50" fillId="3" borderId="44" xfId="0" applyFont="1" applyFill="1" applyBorder="1"/>
    <xf numFmtId="0" fontId="10" fillId="3" borderId="85" xfId="0" applyFont="1" applyFill="1" applyBorder="1" applyAlignment="1">
      <alignment horizontal="center"/>
    </xf>
    <xf numFmtId="0" fontId="10" fillId="3" borderId="86" xfId="0" applyFont="1" applyFill="1" applyBorder="1" applyAlignment="1">
      <alignment horizontal="center"/>
    </xf>
    <xf numFmtId="0" fontId="10" fillId="3" borderId="75" xfId="0" applyFont="1" applyFill="1" applyBorder="1" applyAlignment="1">
      <alignment horizontal="center"/>
    </xf>
    <xf numFmtId="1" fontId="0" fillId="0" borderId="1" xfId="0" quotePrefix="1" applyNumberFormat="1" applyBorder="1" applyAlignment="1">
      <alignment horizontal="center"/>
    </xf>
    <xf numFmtId="1" fontId="0" fillId="0" borderId="24" xfId="0" quotePrefix="1" applyNumberFormat="1" applyBorder="1" applyAlignment="1">
      <alignment horizontal="center"/>
    </xf>
    <xf numFmtId="0" fontId="1" fillId="0" borderId="87" xfId="0" applyFont="1" applyBorder="1" applyAlignment="1">
      <alignment horizontal="left"/>
    </xf>
    <xf numFmtId="0" fontId="1" fillId="0" borderId="15" xfId="0" applyFont="1" applyFill="1" applyBorder="1" applyAlignment="1">
      <alignment horizontal="left"/>
    </xf>
    <xf numFmtId="0" fontId="0" fillId="0" borderId="0" xfId="0" applyProtection="1">
      <protection locked="0"/>
    </xf>
    <xf numFmtId="0" fontId="2" fillId="0" borderId="0" xfId="0" applyFont="1" applyFill="1" applyBorder="1" applyAlignment="1"/>
    <xf numFmtId="0" fontId="66" fillId="8" borderId="0" xfId="0" applyFont="1" applyFill="1"/>
    <xf numFmtId="0" fontId="67" fillId="8" borderId="0" xfId="0" applyFont="1" applyFill="1" applyAlignment="1">
      <alignment horizontal="right"/>
    </xf>
    <xf numFmtId="171" fontId="68" fillId="8" borderId="0" xfId="0" applyNumberFormat="1" applyFont="1" applyFill="1" applyAlignment="1">
      <alignment horizontal="right"/>
    </xf>
    <xf numFmtId="172" fontId="0" fillId="0" borderId="1" xfId="2" applyNumberFormat="1" applyFont="1" applyBorder="1" applyAlignment="1" applyProtection="1">
      <alignment horizontal="center" vertical="center"/>
    </xf>
    <xf numFmtId="172" fontId="0" fillId="0" borderId="24" xfId="2" applyNumberFormat="1" applyFont="1" applyBorder="1" applyAlignment="1" applyProtection="1">
      <alignment horizontal="center" vertical="center"/>
    </xf>
    <xf numFmtId="172" fontId="0" fillId="2" borderId="13" xfId="2" applyNumberFormat="1" applyFont="1" applyFill="1" applyBorder="1" applyAlignment="1" applyProtection="1">
      <alignment horizontal="center"/>
      <protection locked="0"/>
    </xf>
    <xf numFmtId="172" fontId="0" fillId="2" borderId="13" xfId="2" applyNumberFormat="1" applyFont="1" applyFill="1" applyBorder="1" applyAlignment="1" applyProtection="1">
      <alignment horizontal="center" vertical="center"/>
      <protection locked="0"/>
    </xf>
    <xf numFmtId="172" fontId="0" fillId="2" borderId="24" xfId="2" applyNumberFormat="1" applyFont="1" applyFill="1" applyBorder="1" applyAlignment="1" applyProtection="1">
      <alignment horizontal="center" vertical="center"/>
      <protection locked="0"/>
    </xf>
    <xf numFmtId="172" fontId="0" fillId="2" borderId="24" xfId="2" applyNumberFormat="1" applyFont="1" applyFill="1" applyBorder="1" applyAlignment="1" applyProtection="1">
      <alignment horizontal="center"/>
      <protection locked="0"/>
    </xf>
    <xf numFmtId="172" fontId="0" fillId="4" borderId="1" xfId="2" applyNumberFormat="1" applyFont="1" applyFill="1" applyBorder="1" applyAlignment="1" applyProtection="1">
      <alignment horizontal="center"/>
    </xf>
    <xf numFmtId="172" fontId="0" fillId="4" borderId="24" xfId="2" applyNumberFormat="1" applyFont="1" applyFill="1" applyBorder="1" applyAlignment="1" applyProtection="1">
      <alignment horizontal="center"/>
    </xf>
    <xf numFmtId="172" fontId="0" fillId="2" borderId="1" xfId="2" applyNumberFormat="1" applyFont="1" applyFill="1" applyBorder="1" applyAlignment="1" applyProtection="1">
      <alignment horizontal="center"/>
      <protection locked="0"/>
    </xf>
    <xf numFmtId="1" fontId="3" fillId="4" borderId="13" xfId="0" applyNumberFormat="1" applyFont="1" applyFill="1" applyBorder="1" applyAlignment="1">
      <alignment horizontal="center"/>
    </xf>
    <xf numFmtId="1" fontId="3" fillId="4" borderId="23" xfId="0" applyNumberFormat="1" applyFont="1" applyFill="1" applyBorder="1" applyAlignment="1">
      <alignment horizontal="center"/>
    </xf>
    <xf numFmtId="0" fontId="0" fillId="0" borderId="0" xfId="0" applyBorder="1" applyAlignment="1">
      <alignment horizontal="right"/>
    </xf>
    <xf numFmtId="0" fontId="10" fillId="3" borderId="31" xfId="0" applyFont="1" applyFill="1" applyBorder="1" applyAlignment="1">
      <alignment horizontal="center"/>
    </xf>
    <xf numFmtId="0" fontId="0" fillId="0" borderId="0" xfId="0" applyBorder="1" applyAlignment="1">
      <alignment horizontal="left"/>
    </xf>
    <xf numFmtId="0" fontId="10" fillId="3" borderId="33" xfId="0" applyFont="1" applyFill="1" applyBorder="1" applyAlignment="1">
      <alignment horizontal="center"/>
    </xf>
    <xf numFmtId="0" fontId="0" fillId="0" borderId="0" xfId="0" applyBorder="1" applyAlignment="1">
      <alignment horizontal="center"/>
    </xf>
    <xf numFmtId="0" fontId="0" fillId="0" borderId="10" xfId="0" applyBorder="1" applyAlignment="1">
      <alignment horizontal="left"/>
    </xf>
    <xf numFmtId="0" fontId="1" fillId="0" borderId="10" xfId="0" applyFont="1" applyBorder="1" applyAlignment="1">
      <alignment horizontal="left"/>
    </xf>
    <xf numFmtId="0" fontId="58" fillId="0" borderId="10" xfId="0" applyFont="1" applyBorder="1" applyAlignment="1">
      <alignment horizontal="left"/>
    </xf>
    <xf numFmtId="0" fontId="58" fillId="0" borderId="50" xfId="0" applyFont="1" applyBorder="1" applyAlignment="1">
      <alignment horizontal="left"/>
    </xf>
    <xf numFmtId="164" fontId="9" fillId="9" borderId="5" xfId="0" applyNumberFormat="1" applyFont="1" applyFill="1" applyBorder="1" applyAlignment="1">
      <alignment horizontal="center"/>
    </xf>
    <xf numFmtId="164" fontId="9" fillId="9" borderId="6" xfId="0" applyNumberFormat="1" applyFont="1" applyFill="1" applyBorder="1" applyAlignment="1">
      <alignment horizontal="center"/>
    </xf>
    <xf numFmtId="164" fontId="9" fillId="0" borderId="5" xfId="0" applyNumberFormat="1" applyFont="1" applyFill="1" applyBorder="1" applyAlignment="1">
      <alignment horizontal="center"/>
    </xf>
    <xf numFmtId="164" fontId="9" fillId="0" borderId="32" xfId="0" applyNumberFormat="1" applyFont="1" applyFill="1" applyBorder="1" applyAlignment="1">
      <alignment horizontal="center"/>
    </xf>
    <xf numFmtId="164" fontId="9" fillId="9" borderId="32" xfId="0" applyNumberFormat="1" applyFont="1" applyFill="1" applyBorder="1" applyAlignment="1">
      <alignment horizontal="center"/>
    </xf>
    <xf numFmtId="0" fontId="10" fillId="3" borderId="2" xfId="0" applyFont="1" applyFill="1" applyBorder="1" applyAlignment="1">
      <alignment horizontal="center"/>
    </xf>
    <xf numFmtId="0" fontId="0" fillId="0" borderId="10" xfId="0" applyBorder="1" applyAlignment="1">
      <alignment horizontal="right"/>
    </xf>
    <xf numFmtId="0" fontId="10" fillId="3" borderId="26" xfId="0" applyFont="1" applyFill="1" applyBorder="1" applyAlignment="1">
      <alignment horizontal="center"/>
    </xf>
    <xf numFmtId="0" fontId="0" fillId="0" borderId="10" xfId="0" applyBorder="1" applyAlignment="1">
      <alignment horizontal="left" vertical="center"/>
    </xf>
    <xf numFmtId="0" fontId="23" fillId="0" borderId="0" xfId="0" applyFont="1" applyFill="1" applyBorder="1"/>
    <xf numFmtId="0" fontId="0" fillId="0" borderId="0" xfId="0" applyFill="1" applyBorder="1" applyProtection="1">
      <protection locked="0"/>
    </xf>
    <xf numFmtId="0" fontId="0" fillId="3" borderId="0" xfId="0" applyFill="1" applyBorder="1" applyProtection="1">
      <protection locked="0"/>
    </xf>
    <xf numFmtId="0" fontId="0" fillId="9" borderId="10" xfId="0" applyFill="1" applyBorder="1" applyAlignment="1">
      <alignment horizontal="left"/>
    </xf>
    <xf numFmtId="0" fontId="0" fillId="0" borderId="17" xfId="0" applyFill="1" applyBorder="1" applyAlignment="1">
      <alignment horizontal="right"/>
    </xf>
    <xf numFmtId="0" fontId="1" fillId="0" borderId="10" xfId="0" applyFont="1" applyFill="1" applyBorder="1" applyAlignment="1">
      <alignment horizontal="left"/>
    </xf>
    <xf numFmtId="0" fontId="58" fillId="0" borderId="42" xfId="0" applyFont="1" applyBorder="1" applyAlignment="1">
      <alignment horizontal="left"/>
    </xf>
    <xf numFmtId="0" fontId="58" fillId="0" borderId="60" xfId="0" applyFont="1" applyFill="1" applyBorder="1"/>
    <xf numFmtId="0" fontId="58" fillId="0" borderId="59" xfId="0" applyFont="1" applyFill="1" applyBorder="1"/>
    <xf numFmtId="0" fontId="58" fillId="0" borderId="35" xfId="0" applyFont="1" applyBorder="1" applyAlignment="1">
      <alignment horizontal="center"/>
    </xf>
    <xf numFmtId="0" fontId="58" fillId="0" borderId="48" xfId="0" applyFont="1" applyBorder="1" applyAlignment="1">
      <alignment horizontal="center"/>
    </xf>
    <xf numFmtId="0" fontId="33" fillId="0" borderId="17" xfId="0" applyFont="1" applyFill="1" applyBorder="1" applyAlignment="1"/>
    <xf numFmtId="0" fontId="10" fillId="0" borderId="17" xfId="0" applyFont="1" applyFill="1" applyBorder="1" applyAlignment="1">
      <alignment vertical="center" wrapText="1"/>
    </xf>
    <xf numFmtId="0" fontId="10" fillId="0" borderId="52" xfId="0" applyFont="1" applyFill="1" applyBorder="1" applyAlignment="1">
      <alignment vertical="center" wrapText="1"/>
    </xf>
    <xf numFmtId="165" fontId="0" fillId="0" borderId="7" xfId="0" applyNumberFormat="1" applyBorder="1" applyAlignment="1" applyProtection="1">
      <alignment horizontal="center"/>
    </xf>
    <xf numFmtId="165" fontId="0" fillId="0" borderId="72" xfId="0" applyNumberFormat="1" applyBorder="1" applyAlignment="1" applyProtection="1">
      <alignment horizontal="center"/>
    </xf>
    <xf numFmtId="0" fontId="62" fillId="3" borderId="21" xfId="0" applyFont="1" applyFill="1" applyBorder="1" applyAlignment="1">
      <alignment horizontal="center" vertical="center"/>
    </xf>
    <xf numFmtId="0" fontId="62" fillId="3" borderId="22" xfId="0" applyFont="1" applyFill="1" applyBorder="1" applyAlignment="1">
      <alignment horizontal="center" vertical="center"/>
    </xf>
    <xf numFmtId="0" fontId="0" fillId="0" borderId="15" xfId="0" applyBorder="1" applyAlignment="1">
      <alignment horizontal="left"/>
    </xf>
    <xf numFmtId="0" fontId="10" fillId="3" borderId="31" xfId="0" applyFont="1" applyFill="1" applyBorder="1" applyAlignment="1">
      <alignment horizontal="center"/>
    </xf>
    <xf numFmtId="0" fontId="0" fillId="0" borderId="10" xfId="0" applyBorder="1" applyAlignment="1">
      <alignment horizontal="left"/>
    </xf>
    <xf numFmtId="0" fontId="1" fillId="0" borderId="10" xfId="0" applyFont="1" applyBorder="1" applyAlignment="1">
      <alignment horizontal="left"/>
    </xf>
    <xf numFmtId="0" fontId="10" fillId="3" borderId="33" xfId="0" applyFont="1" applyFill="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10" fillId="3" borderId="2" xfId="0" applyFont="1" applyFill="1" applyBorder="1" applyAlignment="1">
      <alignment horizontal="center"/>
    </xf>
    <xf numFmtId="0" fontId="10" fillId="3" borderId="26" xfId="0" applyFont="1" applyFill="1" applyBorder="1" applyAlignment="1">
      <alignment horizontal="center"/>
    </xf>
    <xf numFmtId="0" fontId="0" fillId="0" borderId="10" xfId="0" applyBorder="1" applyAlignment="1">
      <alignment horizontal="left" vertical="center"/>
    </xf>
    <xf numFmtId="0" fontId="29" fillId="19" borderId="8" xfId="0" applyFont="1" applyFill="1" applyBorder="1" applyAlignment="1"/>
    <xf numFmtId="0" fontId="29" fillId="19" borderId="9" xfId="0" applyFont="1" applyFill="1" applyBorder="1" applyAlignment="1"/>
    <xf numFmtId="0" fontId="0" fillId="19" borderId="9" xfId="0" applyFill="1" applyBorder="1"/>
    <xf numFmtId="0" fontId="0" fillId="19" borderId="9" xfId="0" applyFill="1" applyBorder="1" applyAlignment="1">
      <alignment horizontal="right"/>
    </xf>
    <xf numFmtId="0" fontId="10" fillId="19" borderId="8" xfId="0" applyFont="1" applyFill="1" applyBorder="1" applyAlignment="1"/>
    <xf numFmtId="0" fontId="10" fillId="19" borderId="9" xfId="0" applyFont="1" applyFill="1" applyBorder="1" applyAlignment="1"/>
    <xf numFmtId="0" fontId="0" fillId="19" borderId="14" xfId="0" applyFill="1" applyBorder="1" applyAlignment="1">
      <alignment horizontal="right"/>
    </xf>
    <xf numFmtId="0" fontId="23" fillId="9" borderId="0" xfId="0" applyFont="1" applyFill="1" applyBorder="1"/>
    <xf numFmtId="0" fontId="0" fillId="11" borderId="4" xfId="0" applyFill="1" applyBorder="1" applyAlignment="1" applyProtection="1">
      <alignment horizontal="center" vertical="center"/>
      <protection locked="0"/>
    </xf>
    <xf numFmtId="0" fontId="0" fillId="11" borderId="33" xfId="0" applyFill="1" applyBorder="1" applyAlignment="1" applyProtection="1">
      <alignment horizontal="center" vertical="center"/>
      <protection locked="0"/>
    </xf>
    <xf numFmtId="0" fontId="3" fillId="20" borderId="4" xfId="0" applyFont="1" applyFill="1" applyBorder="1" applyAlignment="1" applyProtection="1">
      <alignment horizontal="center"/>
      <protection locked="0"/>
    </xf>
    <xf numFmtId="0" fontId="0" fillId="9" borderId="0" xfId="0" applyFill="1" applyAlignment="1">
      <alignment horizontal="center" vertical="center"/>
    </xf>
    <xf numFmtId="0" fontId="1" fillId="0" borderId="10" xfId="0" applyFont="1" applyBorder="1" applyAlignment="1">
      <alignment horizontal="left"/>
    </xf>
    <xf numFmtId="164" fontId="9" fillId="9" borderId="5" xfId="0" applyNumberFormat="1" applyFont="1" applyFill="1" applyBorder="1" applyAlignment="1">
      <alignment horizontal="center"/>
    </xf>
    <xf numFmtId="164" fontId="9" fillId="0" borderId="5" xfId="0" applyNumberFormat="1" applyFont="1" applyFill="1" applyBorder="1" applyAlignment="1">
      <alignment horizontal="center"/>
    </xf>
    <xf numFmtId="164" fontId="9" fillId="0" borderId="32" xfId="0" applyNumberFormat="1" applyFont="1" applyFill="1" applyBorder="1" applyAlignment="1">
      <alignment horizontal="center"/>
    </xf>
    <xf numFmtId="0" fontId="0" fillId="0" borderId="10" xfId="0" applyBorder="1" applyAlignment="1">
      <alignment horizontal="left" vertical="center"/>
    </xf>
    <xf numFmtId="0" fontId="0" fillId="0" borderId="50" xfId="0" applyBorder="1" applyAlignment="1">
      <alignment horizontal="left" vertical="center"/>
    </xf>
    <xf numFmtId="0" fontId="0" fillId="0" borderId="10" xfId="0" applyBorder="1" applyAlignment="1">
      <alignment horizontal="left"/>
    </xf>
    <xf numFmtId="164" fontId="9" fillId="9" borderId="5" xfId="0" applyNumberFormat="1" applyFont="1" applyFill="1" applyBorder="1" applyAlignment="1">
      <alignment horizontal="center"/>
    </xf>
    <xf numFmtId="164" fontId="9" fillId="9" borderId="6" xfId="0" applyNumberFormat="1" applyFont="1" applyFill="1" applyBorder="1" applyAlignment="1">
      <alignment horizontal="center"/>
    </xf>
    <xf numFmtId="1" fontId="1" fillId="0" borderId="17" xfId="0" applyNumberFormat="1" applyFont="1" applyBorder="1" applyAlignment="1">
      <alignment horizontal="center"/>
    </xf>
    <xf numFmtId="0" fontId="0" fillId="0" borderId="1" xfId="0" applyBorder="1" applyAlignment="1">
      <alignment horizontal="center" vertical="center"/>
    </xf>
    <xf numFmtId="0" fontId="0" fillId="0" borderId="24" xfId="0" applyBorder="1" applyAlignment="1">
      <alignment horizontal="center" vertical="center"/>
    </xf>
    <xf numFmtId="0" fontId="1" fillId="0" borderId="0" xfId="0" applyFont="1" applyAlignment="1">
      <alignment horizontal="left"/>
    </xf>
    <xf numFmtId="0" fontId="1" fillId="0" borderId="10" xfId="0" applyFont="1" applyBorder="1" applyAlignment="1">
      <alignment horizontal="left"/>
    </xf>
    <xf numFmtId="164" fontId="1" fillId="0" borderId="24" xfId="0" applyNumberFormat="1" applyFont="1" applyFill="1" applyBorder="1" applyAlignment="1">
      <alignment horizontal="center"/>
    </xf>
    <xf numFmtId="0" fontId="0" fillId="9" borderId="0" xfId="0" applyFill="1" applyAlignment="1">
      <alignment horizontal="center" vertical="center"/>
    </xf>
    <xf numFmtId="0" fontId="1" fillId="0" borderId="10" xfId="0" applyFont="1" applyBorder="1" applyAlignment="1">
      <alignment horizontal="left"/>
    </xf>
    <xf numFmtId="0" fontId="0" fillId="0" borderId="10" xfId="0" applyBorder="1" applyAlignment="1">
      <alignment horizontal="left" vertical="center"/>
    </xf>
    <xf numFmtId="0" fontId="0" fillId="0" borderId="50" xfId="0" applyBorder="1" applyAlignment="1">
      <alignment horizontal="left" vertical="center"/>
    </xf>
    <xf numFmtId="0" fontId="1" fillId="0" borderId="0" xfId="0" applyFont="1" applyBorder="1" applyAlignment="1">
      <alignment horizontal="left"/>
    </xf>
    <xf numFmtId="0" fontId="58" fillId="0" borderId="10" xfId="0" applyFont="1" applyBorder="1" applyAlignment="1">
      <alignment horizontal="left"/>
    </xf>
    <xf numFmtId="1" fontId="1" fillId="0" borderId="13" xfId="0" applyNumberFormat="1" applyFont="1" applyBorder="1" applyAlignment="1">
      <alignment horizontal="left"/>
    </xf>
    <xf numFmtId="1" fontId="1" fillId="0" borderId="13" xfId="0" applyNumberFormat="1" applyFont="1" applyBorder="1" applyAlignment="1">
      <alignment horizontal="center"/>
    </xf>
    <xf numFmtId="1" fontId="1" fillId="0" borderId="7" xfId="0" applyNumberFormat="1" applyFont="1" applyBorder="1" applyAlignment="1">
      <alignment horizontal="center"/>
    </xf>
    <xf numFmtId="1" fontId="1" fillId="0" borderId="2" xfId="0" applyNumberFormat="1" applyFont="1" applyBorder="1" applyAlignment="1">
      <alignment horizontal="center"/>
    </xf>
    <xf numFmtId="0" fontId="30" fillId="0" borderId="0" xfId="0" applyFont="1" applyFill="1" applyBorder="1" applyAlignment="1">
      <alignment horizontal="left"/>
    </xf>
    <xf numFmtId="0" fontId="30" fillId="0" borderId="0" xfId="0" applyFont="1" applyFill="1" applyBorder="1" applyAlignment="1"/>
    <xf numFmtId="2" fontId="1" fillId="0" borderId="75" xfId="0" applyNumberFormat="1" applyFont="1" applyBorder="1" applyAlignment="1">
      <alignment horizontal="center"/>
    </xf>
    <xf numFmtId="0" fontId="58" fillId="0" borderId="0" xfId="0" applyFont="1" applyBorder="1" applyAlignment="1">
      <alignment horizontal="left"/>
    </xf>
    <xf numFmtId="0" fontId="9" fillId="4" borderId="0" xfId="0" applyFont="1" applyFill="1" applyBorder="1" applyAlignment="1">
      <alignment horizontal="center"/>
    </xf>
    <xf numFmtId="0" fontId="9" fillId="4" borderId="2" xfId="0" applyFont="1" applyFill="1" applyBorder="1" applyAlignment="1">
      <alignment horizontal="center"/>
    </xf>
    <xf numFmtId="0" fontId="9" fillId="4" borderId="19" xfId="0" applyFont="1" applyFill="1" applyBorder="1" applyAlignment="1">
      <alignment horizontal="center"/>
    </xf>
    <xf numFmtId="0" fontId="1" fillId="0" borderId="46" xfId="0" applyFont="1" applyBorder="1" applyAlignment="1">
      <alignment horizontal="left"/>
    </xf>
    <xf numFmtId="0" fontId="1" fillId="0" borderId="51" xfId="0" applyFont="1" applyBorder="1" applyAlignment="1">
      <alignment horizontal="left"/>
    </xf>
    <xf numFmtId="1" fontId="1" fillId="0" borderId="19" xfId="0" applyNumberFormat="1" applyFont="1" applyBorder="1" applyAlignment="1">
      <alignment horizontal="center"/>
    </xf>
    <xf numFmtId="164" fontId="1" fillId="0" borderId="0" xfId="0" applyNumberFormat="1" applyFont="1" applyBorder="1" applyAlignment="1">
      <alignment horizontal="center"/>
    </xf>
    <xf numFmtId="164" fontId="1" fillId="0" borderId="19" xfId="0" applyNumberFormat="1" applyFont="1" applyBorder="1" applyAlignment="1">
      <alignment horizontal="center"/>
    </xf>
    <xf numFmtId="0" fontId="43" fillId="9" borderId="0" xfId="0" applyFont="1" applyFill="1" applyAlignment="1">
      <alignment horizontal="left" textRotation="90"/>
    </xf>
    <xf numFmtId="0" fontId="0" fillId="14" borderId="66" xfId="0" applyFill="1" applyBorder="1" applyAlignment="1">
      <alignment horizontal="center" textRotation="90"/>
    </xf>
    <xf numFmtId="0" fontId="0" fillId="14" borderId="67" xfId="0" applyFill="1" applyBorder="1" applyAlignment="1">
      <alignment horizontal="center" textRotation="90"/>
    </xf>
    <xf numFmtId="0" fontId="0" fillId="11" borderId="2" xfId="0" applyFill="1" applyBorder="1" applyAlignment="1" applyProtection="1">
      <alignment horizontal="left" vertical="top" wrapText="1"/>
      <protection locked="0"/>
    </xf>
    <xf numFmtId="0" fontId="0" fillId="11" borderId="4" xfId="0" applyFill="1" applyBorder="1" applyAlignment="1" applyProtection="1">
      <alignment horizontal="left" vertical="top" wrapText="1"/>
      <protection locked="0"/>
    </xf>
    <xf numFmtId="0" fontId="0" fillId="11" borderId="5" xfId="0" applyFill="1" applyBorder="1" applyAlignment="1" applyProtection="1">
      <alignment horizontal="center"/>
      <protection locked="0"/>
    </xf>
    <xf numFmtId="0" fontId="0" fillId="11" borderId="6" xfId="0" applyFill="1" applyBorder="1" applyAlignment="1" applyProtection="1">
      <alignment horizontal="center"/>
      <protection locked="0"/>
    </xf>
    <xf numFmtId="0" fontId="0" fillId="11" borderId="32" xfId="0" applyFill="1" applyBorder="1" applyAlignment="1" applyProtection="1">
      <alignment horizontal="center"/>
      <protection locked="0"/>
    </xf>
    <xf numFmtId="0" fontId="0" fillId="9" borderId="5" xfId="0" applyFill="1" applyBorder="1" applyAlignment="1">
      <alignment horizontal="center"/>
    </xf>
    <xf numFmtId="0" fontId="0" fillId="9" borderId="6" xfId="0" applyFill="1" applyBorder="1" applyAlignment="1">
      <alignment horizontal="center"/>
    </xf>
    <xf numFmtId="0" fontId="0" fillId="11" borderId="4" xfId="0" applyFill="1" applyBorder="1" applyAlignment="1" applyProtection="1">
      <alignment horizontal="center"/>
      <protection locked="0"/>
    </xf>
    <xf numFmtId="0" fontId="0" fillId="9" borderId="0" xfId="0" applyFill="1" applyAlignment="1">
      <alignment horizontal="center" vertical="center"/>
    </xf>
    <xf numFmtId="0" fontId="1" fillId="9" borderId="0" xfId="0" applyFont="1" applyFill="1" applyAlignment="1">
      <alignment horizontal="right"/>
    </xf>
    <xf numFmtId="0" fontId="44" fillId="9" borderId="0" xfId="0" applyFont="1" applyFill="1" applyAlignment="1">
      <alignment horizontal="center"/>
    </xf>
    <xf numFmtId="0" fontId="0" fillId="14" borderId="0" xfId="0" applyFill="1" applyAlignment="1">
      <alignment horizontal="right" vertical="center" textRotation="90"/>
    </xf>
    <xf numFmtId="0" fontId="0" fillId="14" borderId="68" xfId="0" applyFill="1" applyBorder="1" applyAlignment="1">
      <alignment horizontal="center" vertical="center" textRotation="90"/>
    </xf>
    <xf numFmtId="0" fontId="43" fillId="9" borderId="0" xfId="0" applyFont="1" applyFill="1" applyAlignment="1">
      <alignment horizontal="right" textRotation="90"/>
    </xf>
    <xf numFmtId="0" fontId="42" fillId="9" borderId="0" xfId="0" applyFont="1" applyFill="1" applyAlignment="1">
      <alignment horizontal="left" vertical="top" wrapText="1"/>
    </xf>
    <xf numFmtId="0" fontId="0" fillId="11" borderId="33" xfId="0" applyFill="1" applyBorder="1" applyAlignment="1" applyProtection="1">
      <alignment horizontal="left"/>
      <protection locked="0"/>
    </xf>
    <xf numFmtId="0" fontId="0" fillId="11" borderId="4" xfId="0" applyFill="1" applyBorder="1" applyAlignment="1" applyProtection="1">
      <alignment horizontal="left"/>
      <protection locked="0"/>
    </xf>
    <xf numFmtId="14" fontId="0" fillId="11" borderId="33" xfId="0" applyNumberFormat="1" applyFill="1" applyBorder="1" applyAlignment="1" applyProtection="1">
      <alignment horizontal="left"/>
      <protection locked="0"/>
    </xf>
    <xf numFmtId="49" fontId="0" fillId="11" borderId="33" xfId="0" applyNumberFormat="1" applyFill="1" applyBorder="1" applyAlignment="1" applyProtection="1">
      <alignment horizontal="left"/>
      <protection locked="0"/>
    </xf>
    <xf numFmtId="0" fontId="23" fillId="9" borderId="0" xfId="0" applyFont="1" applyFill="1" applyAlignment="1">
      <alignment horizontal="center"/>
    </xf>
    <xf numFmtId="0" fontId="0" fillId="0" borderId="10" xfId="0" applyBorder="1" applyAlignment="1">
      <alignment horizontal="right"/>
    </xf>
    <xf numFmtId="0" fontId="0" fillId="0" borderId="50" xfId="0" applyBorder="1" applyAlignment="1">
      <alignment horizontal="right"/>
    </xf>
    <xf numFmtId="0" fontId="0" fillId="4" borderId="31" xfId="0" applyFill="1" applyBorder="1" applyAlignment="1" applyProtection="1">
      <alignment horizontal="center"/>
      <protection locked="0"/>
    </xf>
    <xf numFmtId="0" fontId="0" fillId="4" borderId="0" xfId="0" applyFill="1" applyBorder="1" applyAlignment="1" applyProtection="1">
      <alignment horizontal="center"/>
      <protection locked="0"/>
    </xf>
    <xf numFmtId="14" fontId="0" fillId="4" borderId="33" xfId="0" applyNumberFormat="1" applyFill="1" applyBorder="1" applyAlignment="1" applyProtection="1">
      <alignment horizontal="center"/>
      <protection locked="0"/>
    </xf>
    <xf numFmtId="0" fontId="0" fillId="4" borderId="2" xfId="0" applyFill="1" applyBorder="1" applyAlignment="1" applyProtection="1">
      <alignment horizontal="center"/>
      <protection locked="0"/>
    </xf>
    <xf numFmtId="0" fontId="0" fillId="4" borderId="33" xfId="0" applyFill="1" applyBorder="1" applyAlignment="1" applyProtection="1">
      <alignment horizontal="center"/>
      <protection locked="0"/>
    </xf>
    <xf numFmtId="0" fontId="0" fillId="0" borderId="10" xfId="0" applyFill="1" applyBorder="1" applyAlignment="1">
      <alignment horizontal="left" wrapText="1"/>
    </xf>
    <xf numFmtId="0" fontId="0" fillId="4" borderId="2" xfId="0" applyFill="1" applyBorder="1" applyAlignment="1" applyProtection="1">
      <alignment horizontal="center" vertical="top" wrapText="1"/>
      <protection locked="0"/>
    </xf>
    <xf numFmtId="0" fontId="0" fillId="4" borderId="4" xfId="0" applyFill="1" applyBorder="1" applyAlignment="1" applyProtection="1">
      <alignment horizontal="center" vertical="top" wrapText="1"/>
      <protection locked="0"/>
    </xf>
    <xf numFmtId="0" fontId="29" fillId="3" borderId="18" xfId="0" applyFont="1" applyFill="1" applyBorder="1" applyAlignment="1">
      <alignment horizontal="center"/>
    </xf>
    <xf numFmtId="0" fontId="29" fillId="3" borderId="2" xfId="0" applyFont="1" applyFill="1" applyBorder="1" applyAlignment="1">
      <alignment horizontal="center"/>
    </xf>
    <xf numFmtId="0" fontId="28" fillId="0" borderId="88" xfId="0" applyFont="1" applyBorder="1" applyAlignment="1">
      <alignment horizontal="left"/>
    </xf>
    <xf numFmtId="0" fontId="28" fillId="0" borderId="80" xfId="0" applyFont="1" applyBorder="1" applyAlignment="1">
      <alignment horizontal="left"/>
    </xf>
    <xf numFmtId="0" fontId="29" fillId="3" borderId="56" xfId="0" applyFont="1" applyFill="1" applyBorder="1" applyAlignment="1">
      <alignment horizontal="center"/>
    </xf>
    <xf numFmtId="0" fontId="29" fillId="3" borderId="33" xfId="0" applyFont="1" applyFill="1" applyBorder="1" applyAlignment="1">
      <alignment horizontal="center"/>
    </xf>
    <xf numFmtId="0" fontId="0" fillId="0" borderId="56" xfId="0" applyBorder="1" applyAlignment="1">
      <alignment horizontal="left"/>
    </xf>
    <xf numFmtId="0" fontId="0" fillId="0" borderId="6" xfId="0" applyBorder="1" applyAlignment="1">
      <alignment horizontal="left"/>
    </xf>
    <xf numFmtId="0" fontId="0" fillId="0" borderId="20" xfId="0" applyBorder="1" applyAlignment="1">
      <alignment horizontal="left"/>
    </xf>
    <xf numFmtId="0" fontId="0" fillId="0" borderId="79" xfId="0" applyBorder="1" applyAlignment="1">
      <alignment horizontal="left"/>
    </xf>
    <xf numFmtId="0" fontId="0" fillId="0" borderId="55" xfId="0" applyBorder="1" applyAlignment="1">
      <alignment horizontal="left"/>
    </xf>
    <xf numFmtId="0" fontId="0" fillId="0" borderId="81" xfId="0" applyBorder="1" applyAlignment="1">
      <alignment horizontal="left"/>
    </xf>
    <xf numFmtId="0" fontId="23" fillId="9" borderId="0" xfId="0" applyFont="1" applyFill="1" applyBorder="1" applyAlignment="1">
      <alignment horizontal="center"/>
    </xf>
    <xf numFmtId="0" fontId="0" fillId="0" borderId="11" xfId="0" applyBorder="1" applyAlignment="1">
      <alignment horizontal="right"/>
    </xf>
    <xf numFmtId="0" fontId="0" fillId="0" borderId="77" xfId="0" applyBorder="1" applyAlignment="1">
      <alignment horizontal="right"/>
    </xf>
    <xf numFmtId="0" fontId="0" fillId="2" borderId="73" xfId="0" applyFill="1" applyBorder="1" applyAlignment="1" applyProtection="1">
      <alignment horizontal="center"/>
      <protection locked="0"/>
    </xf>
    <xf numFmtId="0" fontId="0" fillId="2" borderId="12" xfId="0" applyFill="1" applyBorder="1" applyAlignment="1" applyProtection="1">
      <alignment horizontal="center"/>
      <protection locked="0"/>
    </xf>
    <xf numFmtId="0" fontId="10" fillId="0" borderId="11" xfId="0" applyFont="1" applyFill="1" applyBorder="1" applyAlignment="1">
      <alignment horizontal="center"/>
    </xf>
    <xf numFmtId="0" fontId="10" fillId="0" borderId="77" xfId="0" applyFont="1" applyFill="1" applyBorder="1" applyAlignment="1">
      <alignment horizontal="center"/>
    </xf>
    <xf numFmtId="0" fontId="1" fillId="0" borderId="10" xfId="0" applyFont="1" applyBorder="1" applyAlignment="1">
      <alignment horizontal="left"/>
    </xf>
    <xf numFmtId="0" fontId="1" fillId="0" borderId="50" xfId="0" applyFont="1" applyBorder="1" applyAlignment="1">
      <alignment horizontal="left"/>
    </xf>
    <xf numFmtId="0" fontId="33" fillId="3" borderId="20" xfId="0" applyFont="1" applyFill="1" applyBorder="1" applyAlignment="1">
      <alignment horizontal="center"/>
    </xf>
    <xf numFmtId="0" fontId="33" fillId="3" borderId="21" xfId="0" applyFont="1" applyFill="1" applyBorder="1" applyAlignment="1">
      <alignment horizontal="center"/>
    </xf>
    <xf numFmtId="0" fontId="33" fillId="3" borderId="22" xfId="0" applyFont="1" applyFill="1" applyBorder="1" applyAlignment="1">
      <alignment horizontal="center"/>
    </xf>
    <xf numFmtId="0" fontId="10" fillId="3" borderId="55" xfId="0" applyFont="1" applyFill="1" applyBorder="1" applyAlignment="1">
      <alignment horizontal="center"/>
    </xf>
    <xf numFmtId="0" fontId="10" fillId="3" borderId="31" xfId="0" applyFont="1" applyFill="1" applyBorder="1" applyAlignment="1">
      <alignment horizontal="center"/>
    </xf>
    <xf numFmtId="0" fontId="0" fillId="0" borderId="18" xfId="0" applyBorder="1" applyAlignment="1">
      <alignment horizontal="left"/>
    </xf>
    <xf numFmtId="0" fontId="0" fillId="0" borderId="49" xfId="0" applyBorder="1" applyAlignment="1">
      <alignment horizontal="left"/>
    </xf>
    <xf numFmtId="0" fontId="0" fillId="0" borderId="10" xfId="0" applyBorder="1" applyAlignment="1">
      <alignment horizontal="left"/>
    </xf>
    <xf numFmtId="0" fontId="0" fillId="0" borderId="50" xfId="0" applyBorder="1" applyAlignment="1">
      <alignment horizontal="left"/>
    </xf>
    <xf numFmtId="0" fontId="10" fillId="3" borderId="56" xfId="0" applyFont="1" applyFill="1" applyBorder="1" applyAlignment="1">
      <alignment horizontal="center"/>
    </xf>
    <xf numFmtId="0" fontId="10" fillId="3" borderId="33" xfId="0" applyFont="1" applyFill="1" applyBorder="1" applyAlignment="1">
      <alignment horizontal="center"/>
    </xf>
    <xf numFmtId="0" fontId="0" fillId="0" borderId="10" xfId="0" applyFont="1" applyBorder="1" applyAlignment="1">
      <alignment horizontal="left" vertical="center"/>
    </xf>
    <xf numFmtId="0" fontId="0" fillId="0" borderId="50" xfId="0" applyFont="1" applyBorder="1" applyAlignment="1">
      <alignment horizontal="left" vertical="center"/>
    </xf>
    <xf numFmtId="0" fontId="1" fillId="0" borderId="0" xfId="0" applyFont="1" applyFill="1" applyBorder="1" applyAlignment="1">
      <alignment horizontal="left"/>
    </xf>
    <xf numFmtId="0" fontId="10" fillId="3" borderId="53" xfId="0" applyFont="1" applyFill="1" applyBorder="1" applyAlignment="1">
      <alignment horizontal="center" vertical="center" wrapText="1"/>
    </xf>
    <xf numFmtId="0" fontId="10" fillId="3" borderId="13" xfId="0" applyFont="1" applyFill="1" applyBorder="1" applyAlignment="1">
      <alignment horizontal="center" vertical="center" wrapText="1"/>
    </xf>
    <xf numFmtId="164" fontId="1" fillId="0" borderId="46" xfId="0" applyNumberFormat="1" applyFont="1" applyBorder="1" applyAlignment="1">
      <alignment horizontal="center"/>
    </xf>
    <xf numFmtId="164" fontId="1" fillId="0" borderId="51" xfId="0" applyNumberFormat="1" applyFont="1" applyBorder="1" applyAlignment="1">
      <alignment horizontal="center"/>
    </xf>
    <xf numFmtId="1" fontId="1" fillId="0" borderId="46" xfId="0" applyNumberFormat="1" applyFont="1" applyBorder="1" applyAlignment="1">
      <alignment horizontal="center"/>
    </xf>
    <xf numFmtId="1" fontId="1" fillId="0" borderId="51" xfId="0" applyNumberFormat="1" applyFont="1" applyBorder="1" applyAlignment="1">
      <alignment horizontal="center"/>
    </xf>
    <xf numFmtId="0" fontId="1" fillId="0" borderId="18" xfId="0" applyFont="1" applyFill="1" applyBorder="1" applyAlignment="1">
      <alignment horizontal="left"/>
    </xf>
    <xf numFmtId="0" fontId="1" fillId="0" borderId="2" xfId="0" applyFont="1" applyFill="1" applyBorder="1" applyAlignment="1">
      <alignment horizontal="left"/>
    </xf>
    <xf numFmtId="0" fontId="0" fillId="0" borderId="10" xfId="0" applyBorder="1" applyAlignment="1">
      <alignment horizontal="center"/>
    </xf>
    <xf numFmtId="0" fontId="0" fillId="0" borderId="0" xfId="0" applyBorder="1" applyAlignment="1">
      <alignment horizontal="center"/>
    </xf>
    <xf numFmtId="0" fontId="0" fillId="0" borderId="50" xfId="0" applyBorder="1" applyAlignment="1">
      <alignment horizontal="center"/>
    </xf>
    <xf numFmtId="0" fontId="24" fillId="9" borderId="0" xfId="0" applyFont="1" applyFill="1" applyBorder="1" applyAlignment="1">
      <alignment horizontal="center"/>
    </xf>
    <xf numFmtId="0" fontId="1" fillId="9" borderId="0" xfId="0" applyFont="1" applyFill="1" applyBorder="1" applyAlignment="1">
      <alignment horizontal="center"/>
    </xf>
    <xf numFmtId="0" fontId="10" fillId="3" borderId="61"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0" fillId="3" borderId="10" xfId="0" applyFont="1" applyFill="1" applyBorder="1" applyAlignment="1">
      <alignment horizontal="center"/>
    </xf>
    <xf numFmtId="0" fontId="10" fillId="3" borderId="0" xfId="0" applyFont="1" applyFill="1" applyBorder="1" applyAlignment="1">
      <alignment horizontal="center"/>
    </xf>
    <xf numFmtId="0" fontId="10" fillId="3" borderId="50" xfId="0" applyFont="1" applyFill="1" applyBorder="1" applyAlignment="1">
      <alignment horizontal="center"/>
    </xf>
    <xf numFmtId="0" fontId="58" fillId="0" borderId="10" xfId="0" applyFont="1" applyBorder="1" applyAlignment="1">
      <alignment horizontal="left"/>
    </xf>
    <xf numFmtId="0" fontId="58" fillId="0" borderId="50" xfId="0" applyFont="1" applyBorder="1" applyAlignment="1">
      <alignment horizontal="left"/>
    </xf>
    <xf numFmtId="0" fontId="9" fillId="0" borderId="78" xfId="0" applyFont="1" applyFill="1" applyBorder="1" applyAlignment="1">
      <alignment horizontal="center"/>
    </xf>
    <xf numFmtId="0" fontId="9" fillId="0" borderId="49" xfId="0" applyFont="1" applyFill="1" applyBorder="1" applyAlignment="1">
      <alignment horizontal="center"/>
    </xf>
    <xf numFmtId="0" fontId="9" fillId="9" borderId="78" xfId="0" applyFont="1" applyFill="1" applyBorder="1" applyAlignment="1">
      <alignment horizontal="center"/>
    </xf>
    <xf numFmtId="0" fontId="9" fillId="9" borderId="49" xfId="0" applyFont="1" applyFill="1" applyBorder="1" applyAlignment="1">
      <alignment horizontal="center"/>
    </xf>
    <xf numFmtId="0" fontId="9" fillId="9" borderId="34" xfId="0" applyFont="1" applyFill="1" applyBorder="1" applyAlignment="1">
      <alignment horizontal="center"/>
    </xf>
    <xf numFmtId="0" fontId="9" fillId="9" borderId="27" xfId="0" applyFont="1" applyFill="1" applyBorder="1" applyAlignment="1">
      <alignment horizontal="center"/>
    </xf>
    <xf numFmtId="0" fontId="0" fillId="0" borderId="10" xfId="0" applyFill="1" applyBorder="1" applyAlignment="1">
      <alignment horizontal="left" vertical="top" wrapText="1"/>
    </xf>
    <xf numFmtId="0" fontId="0" fillId="0" borderId="0" xfId="0" applyFill="1" applyBorder="1" applyAlignment="1">
      <alignment horizontal="left" vertical="top" wrapText="1"/>
    </xf>
    <xf numFmtId="0" fontId="0" fillId="0" borderId="50" xfId="0" applyFill="1" applyBorder="1" applyAlignment="1">
      <alignment horizontal="left" vertical="top" wrapText="1"/>
    </xf>
    <xf numFmtId="0" fontId="0" fillId="0" borderId="0" xfId="0" applyFill="1" applyBorder="1" applyAlignment="1">
      <alignment horizontal="left" wrapText="1"/>
    </xf>
    <xf numFmtId="0" fontId="0" fillId="0" borderId="50" xfId="0" applyFill="1" applyBorder="1" applyAlignment="1">
      <alignment horizontal="left" wrapText="1"/>
    </xf>
    <xf numFmtId="0" fontId="33" fillId="3" borderId="10" xfId="0" applyFont="1" applyFill="1" applyBorder="1" applyAlignment="1">
      <alignment horizontal="center"/>
    </xf>
    <xf numFmtId="0" fontId="33" fillId="3" borderId="0" xfId="0" applyFont="1" applyFill="1" applyBorder="1" applyAlignment="1">
      <alignment horizontal="center"/>
    </xf>
    <xf numFmtId="0" fontId="33" fillId="3" borderId="17" xfId="0" applyFont="1" applyFill="1" applyBorder="1" applyAlignment="1">
      <alignment horizontal="center"/>
    </xf>
    <xf numFmtId="0" fontId="9" fillId="9" borderId="5" xfId="0" applyFont="1" applyFill="1" applyBorder="1" applyAlignment="1">
      <alignment horizontal="center"/>
    </xf>
    <xf numFmtId="0" fontId="9" fillId="9" borderId="6" xfId="0" applyFont="1" applyFill="1" applyBorder="1" applyAlignment="1">
      <alignment horizontal="center"/>
    </xf>
    <xf numFmtId="0" fontId="9" fillId="4" borderId="5" xfId="0" applyFont="1" applyFill="1" applyBorder="1" applyAlignment="1">
      <alignment horizontal="center"/>
    </xf>
    <xf numFmtId="0" fontId="9" fillId="4" borderId="6" xfId="0" applyFont="1" applyFill="1" applyBorder="1" applyAlignment="1">
      <alignment horizontal="center"/>
    </xf>
    <xf numFmtId="0" fontId="9" fillId="4" borderId="32" xfId="0" applyFont="1" applyFill="1" applyBorder="1" applyAlignment="1">
      <alignment horizontal="center"/>
    </xf>
    <xf numFmtId="0" fontId="9" fillId="4" borderId="78" xfId="0" applyFont="1" applyFill="1" applyBorder="1" applyAlignment="1">
      <alignment horizontal="center"/>
    </xf>
    <xf numFmtId="0" fontId="9" fillId="9" borderId="32" xfId="0" applyFont="1" applyFill="1" applyBorder="1" applyAlignment="1">
      <alignment horizontal="center"/>
    </xf>
    <xf numFmtId="0" fontId="10" fillId="3" borderId="11" xfId="0" applyFont="1" applyFill="1" applyBorder="1" applyAlignment="1">
      <alignment horizontal="center" wrapText="1"/>
    </xf>
    <xf numFmtId="0" fontId="10" fillId="3" borderId="77" xfId="0" applyFont="1" applyFill="1" applyBorder="1" applyAlignment="1">
      <alignment horizontal="center" wrapText="1"/>
    </xf>
    <xf numFmtId="0" fontId="1" fillId="3" borderId="10" xfId="0" applyFont="1" applyFill="1" applyBorder="1" applyAlignment="1">
      <alignment horizontal="center" wrapText="1"/>
    </xf>
    <xf numFmtId="0" fontId="1" fillId="3" borderId="50" xfId="0" applyFont="1" applyFill="1" applyBorder="1" applyAlignment="1">
      <alignment horizontal="center" wrapText="1"/>
    </xf>
    <xf numFmtId="0" fontId="1" fillId="3" borderId="54" xfId="0" applyFont="1" applyFill="1" applyBorder="1" applyAlignment="1">
      <alignment horizontal="center" wrapText="1"/>
    </xf>
    <xf numFmtId="0" fontId="1" fillId="3" borderId="51" xfId="0" applyFont="1" applyFill="1" applyBorder="1" applyAlignment="1">
      <alignment horizontal="center" wrapText="1"/>
    </xf>
    <xf numFmtId="0" fontId="10" fillId="3" borderId="25" xfId="0" applyFont="1" applyFill="1" applyBorder="1" applyAlignment="1">
      <alignment horizontal="center"/>
    </xf>
    <xf numFmtId="0" fontId="10" fillId="3" borderId="26" xfId="0" applyFont="1" applyFill="1" applyBorder="1" applyAlignment="1">
      <alignment horizontal="center"/>
    </xf>
    <xf numFmtId="0" fontId="0" fillId="0" borderId="11" xfId="0" applyBorder="1" applyAlignment="1">
      <alignment horizontal="left" vertical="center"/>
    </xf>
    <xf numFmtId="0" fontId="0" fillId="0" borderId="77" xfId="0" applyBorder="1" applyAlignment="1">
      <alignment horizontal="left" vertical="center"/>
    </xf>
    <xf numFmtId="0" fontId="0" fillId="0" borderId="10" xfId="0" applyBorder="1" applyAlignment="1">
      <alignment horizontal="left" vertical="center"/>
    </xf>
    <xf numFmtId="0" fontId="0" fillId="0" borderId="50" xfId="0" applyBorder="1" applyAlignment="1">
      <alignment horizontal="left" vertical="center"/>
    </xf>
    <xf numFmtId="0" fontId="28" fillId="0" borderId="10" xfId="0" applyFont="1" applyBorder="1" applyAlignment="1">
      <alignment horizontal="left"/>
    </xf>
    <xf numFmtId="0" fontId="28" fillId="0" borderId="50" xfId="0" applyFont="1" applyBorder="1" applyAlignment="1">
      <alignment horizontal="left"/>
    </xf>
    <xf numFmtId="0" fontId="62" fillId="3" borderId="20" xfId="0" applyFont="1" applyFill="1" applyBorder="1" applyAlignment="1">
      <alignment horizontal="center" vertical="center"/>
    </xf>
    <xf numFmtId="0" fontId="62" fillId="3" borderId="21" xfId="0" applyFont="1" applyFill="1" applyBorder="1" applyAlignment="1">
      <alignment horizontal="center" vertical="center"/>
    </xf>
    <xf numFmtId="0" fontId="63" fillId="3" borderId="20" xfId="0" applyFont="1" applyFill="1" applyBorder="1" applyAlignment="1">
      <alignment horizontal="center" vertical="center"/>
    </xf>
    <xf numFmtId="0" fontId="63" fillId="3" borderId="21" xfId="0" applyFont="1" applyFill="1" applyBorder="1" applyAlignment="1">
      <alignment horizontal="center" vertical="center"/>
    </xf>
    <xf numFmtId="0" fontId="63" fillId="3" borderId="22" xfId="0" applyFont="1" applyFill="1" applyBorder="1" applyAlignment="1">
      <alignment horizontal="center" vertical="center"/>
    </xf>
    <xf numFmtId="0" fontId="10" fillId="3" borderId="17" xfId="0" applyFont="1" applyFill="1" applyBorder="1" applyAlignment="1">
      <alignment horizontal="center"/>
    </xf>
    <xf numFmtId="164" fontId="9" fillId="9" borderId="5" xfId="0" applyNumberFormat="1" applyFont="1" applyFill="1" applyBorder="1" applyAlignment="1">
      <alignment horizontal="center"/>
    </xf>
    <xf numFmtId="164" fontId="9" fillId="9" borderId="6" xfId="0" applyNumberFormat="1" applyFont="1" applyFill="1" applyBorder="1" applyAlignment="1">
      <alignment horizontal="center"/>
    </xf>
    <xf numFmtId="164" fontId="9" fillId="0" borderId="5" xfId="0" applyNumberFormat="1" applyFont="1" applyFill="1" applyBorder="1" applyAlignment="1">
      <alignment horizontal="center"/>
    </xf>
    <xf numFmtId="164" fontId="9" fillId="0" borderId="6" xfId="0" applyNumberFormat="1" applyFont="1" applyFill="1" applyBorder="1" applyAlignment="1">
      <alignment horizontal="center"/>
    </xf>
    <xf numFmtId="0" fontId="10" fillId="3" borderId="10" xfId="0" applyFont="1" applyFill="1" applyBorder="1" applyAlignment="1">
      <alignment horizontal="left"/>
    </xf>
    <xf numFmtId="0" fontId="10" fillId="3" borderId="0" xfId="0" applyFont="1" applyFill="1" applyBorder="1" applyAlignment="1">
      <alignment horizontal="left"/>
    </xf>
    <xf numFmtId="14" fontId="0" fillId="4" borderId="2" xfId="0" applyNumberFormat="1" applyFill="1" applyBorder="1" applyAlignment="1" applyProtection="1">
      <alignment horizontal="center"/>
      <protection locked="0"/>
    </xf>
    <xf numFmtId="0" fontId="57" fillId="0" borderId="10" xfId="0" applyFont="1" applyFill="1" applyBorder="1" applyAlignment="1">
      <alignment horizontal="right"/>
    </xf>
    <xf numFmtId="0" fontId="57" fillId="0" borderId="50" xfId="0" applyFont="1" applyFill="1" applyBorder="1" applyAlignment="1">
      <alignment horizontal="right"/>
    </xf>
    <xf numFmtId="0" fontId="10" fillId="3" borderId="2" xfId="0" applyFont="1" applyFill="1" applyBorder="1" applyAlignment="1">
      <alignment horizontal="center"/>
    </xf>
    <xf numFmtId="0" fontId="0" fillId="3" borderId="2" xfId="0" applyFill="1" applyBorder="1" applyAlignment="1"/>
    <xf numFmtId="0" fontId="10" fillId="3" borderId="11" xfId="0" applyFont="1" applyFill="1" applyBorder="1" applyAlignment="1">
      <alignment horizontal="left"/>
    </xf>
    <xf numFmtId="0" fontId="10" fillId="3" borderId="77" xfId="0" applyFont="1" applyFill="1" applyBorder="1" applyAlignment="1">
      <alignment horizontal="left"/>
    </xf>
    <xf numFmtId="164" fontId="9" fillId="0" borderId="32" xfId="0" applyNumberFormat="1" applyFont="1" applyFill="1" applyBorder="1" applyAlignment="1">
      <alignment horizontal="center"/>
    </xf>
    <xf numFmtId="0" fontId="9" fillId="0" borderId="46" xfId="0" applyFont="1" applyFill="1" applyBorder="1" applyAlignment="1">
      <alignment horizontal="center"/>
    </xf>
    <xf numFmtId="0" fontId="9" fillId="0" borderId="4" xfId="0" applyFont="1" applyFill="1" applyBorder="1" applyAlignment="1">
      <alignment horizontal="center"/>
    </xf>
    <xf numFmtId="0" fontId="9" fillId="9" borderId="46" xfId="0" applyFont="1" applyFill="1" applyBorder="1" applyAlignment="1">
      <alignment horizontal="center"/>
    </xf>
    <xf numFmtId="0" fontId="9" fillId="9" borderId="4" xfId="0" applyFont="1" applyFill="1" applyBorder="1" applyAlignment="1">
      <alignment horizontal="center"/>
    </xf>
    <xf numFmtId="0" fontId="9" fillId="0" borderId="5" xfId="0" applyFont="1" applyFill="1" applyBorder="1" applyAlignment="1">
      <alignment horizontal="center"/>
    </xf>
    <xf numFmtId="0" fontId="9" fillId="0" borderId="32" xfId="0" applyFont="1" applyFill="1" applyBorder="1" applyAlignment="1">
      <alignment horizontal="center"/>
    </xf>
    <xf numFmtId="0" fontId="9" fillId="0" borderId="6" xfId="0" applyFont="1" applyFill="1" applyBorder="1" applyAlignment="1">
      <alignment horizontal="center"/>
    </xf>
    <xf numFmtId="0" fontId="10" fillId="3" borderId="73" xfId="0" applyFont="1" applyFill="1" applyBorder="1" applyAlignment="1">
      <alignment horizontal="center"/>
    </xf>
    <xf numFmtId="0" fontId="10" fillId="3" borderId="77" xfId="0" applyFont="1" applyFill="1" applyBorder="1" applyAlignment="1">
      <alignment horizontal="center"/>
    </xf>
    <xf numFmtId="0" fontId="10" fillId="3" borderId="12" xfId="0" applyFont="1" applyFill="1" applyBorder="1" applyAlignment="1">
      <alignment horizontal="center"/>
    </xf>
    <xf numFmtId="0" fontId="10" fillId="3" borderId="3" xfId="0" applyFont="1" applyFill="1" applyBorder="1" applyAlignment="1">
      <alignment horizontal="center"/>
    </xf>
    <xf numFmtId="164" fontId="9" fillId="9" borderId="32" xfId="0" applyNumberFormat="1" applyFont="1" applyFill="1" applyBorder="1" applyAlignment="1">
      <alignment horizontal="center"/>
    </xf>
    <xf numFmtId="0" fontId="10" fillId="3" borderId="5" xfId="0" applyFont="1" applyFill="1" applyBorder="1" applyAlignment="1">
      <alignment horizontal="center"/>
    </xf>
    <xf numFmtId="0" fontId="10" fillId="3" borderId="6" xfId="0" applyFont="1" applyFill="1" applyBorder="1" applyAlignment="1">
      <alignment horizontal="center"/>
    </xf>
    <xf numFmtId="0" fontId="0" fillId="3" borderId="46" xfId="0" applyFill="1" applyBorder="1" applyAlignment="1">
      <alignment horizontal="center"/>
    </xf>
    <xf numFmtId="0" fontId="0" fillId="3" borderId="51" xfId="0" applyFill="1" applyBorder="1" applyAlignment="1">
      <alignment horizontal="center"/>
    </xf>
    <xf numFmtId="0" fontId="0" fillId="3" borderId="13" xfId="0" applyFill="1" applyBorder="1" applyAlignment="1">
      <alignment horizontal="center"/>
    </xf>
    <xf numFmtId="0" fontId="0" fillId="18" borderId="5" xfId="0" applyFill="1" applyBorder="1" applyAlignment="1" applyProtection="1">
      <alignment horizontal="center"/>
      <protection locked="0"/>
    </xf>
    <xf numFmtId="0" fontId="0" fillId="18" borderId="6" xfId="0" applyFill="1" applyBorder="1" applyAlignment="1" applyProtection="1">
      <alignment horizontal="center"/>
      <protection locked="0"/>
    </xf>
    <xf numFmtId="0" fontId="9" fillId="0" borderId="3" xfId="0" applyFont="1" applyFill="1" applyBorder="1" applyAlignment="1">
      <alignment horizontal="center"/>
    </xf>
    <xf numFmtId="0" fontId="9" fillId="0" borderId="0" xfId="0" applyFont="1" applyFill="1" applyBorder="1" applyAlignment="1">
      <alignment horizontal="center"/>
    </xf>
    <xf numFmtId="0" fontId="9" fillId="9" borderId="3" xfId="0" applyFont="1" applyFill="1" applyBorder="1" applyAlignment="1">
      <alignment horizontal="center"/>
    </xf>
    <xf numFmtId="0" fontId="9" fillId="9" borderId="0" xfId="0" applyFont="1" applyFill="1" applyBorder="1" applyAlignment="1">
      <alignment horizontal="center"/>
    </xf>
    <xf numFmtId="0" fontId="9" fillId="9" borderId="17" xfId="0" applyFont="1" applyFill="1" applyBorder="1" applyAlignment="1">
      <alignment horizontal="center"/>
    </xf>
    <xf numFmtId="0" fontId="10" fillId="3" borderId="74" xfId="0" applyFont="1" applyFill="1" applyBorder="1" applyAlignment="1">
      <alignment horizontal="center"/>
    </xf>
    <xf numFmtId="0" fontId="0" fillId="0" borderId="0" xfId="0" applyBorder="1" applyAlignment="1">
      <alignment horizontal="left"/>
    </xf>
    <xf numFmtId="0" fontId="1" fillId="0" borderId="10" xfId="0" applyFont="1" applyFill="1" applyBorder="1" applyAlignment="1">
      <alignment horizontal="left" wrapText="1"/>
    </xf>
    <xf numFmtId="0" fontId="1" fillId="0" borderId="0" xfId="0" applyFont="1" applyFill="1" applyBorder="1" applyAlignment="1">
      <alignment horizontal="left" wrapText="1"/>
    </xf>
    <xf numFmtId="0" fontId="1" fillId="0" borderId="50" xfId="0" applyFont="1" applyFill="1" applyBorder="1" applyAlignment="1">
      <alignment horizontal="left" wrapText="1"/>
    </xf>
    <xf numFmtId="0" fontId="0" fillId="0" borderId="0" xfId="0" applyFill="1" applyAlignment="1">
      <alignment horizontal="center"/>
    </xf>
    <xf numFmtId="0" fontId="35" fillId="18" borderId="5" xfId="0" applyFont="1" applyFill="1" applyBorder="1" applyAlignment="1" applyProtection="1">
      <alignment horizontal="center"/>
      <protection locked="0"/>
    </xf>
    <xf numFmtId="0" fontId="35" fillId="18" borderId="33" xfId="0" applyFont="1" applyFill="1" applyBorder="1" applyAlignment="1" applyProtection="1">
      <alignment horizontal="center"/>
      <protection locked="0"/>
    </xf>
    <xf numFmtId="0" fontId="35" fillId="18" borderId="6" xfId="0" applyFont="1" applyFill="1" applyBorder="1" applyAlignment="1" applyProtection="1">
      <alignment horizontal="center"/>
      <protection locked="0"/>
    </xf>
    <xf numFmtId="0" fontId="0" fillId="3" borderId="5" xfId="0" applyFill="1" applyBorder="1" applyAlignment="1">
      <alignment horizontal="center"/>
    </xf>
    <xf numFmtId="0" fontId="0" fillId="3" borderId="33" xfId="0" applyFill="1" applyBorder="1" applyAlignment="1">
      <alignment horizontal="center"/>
    </xf>
    <xf numFmtId="0" fontId="0" fillId="3" borderId="6" xfId="0" applyFill="1" applyBorder="1" applyAlignment="1">
      <alignment horizontal="center"/>
    </xf>
    <xf numFmtId="0" fontId="10" fillId="3" borderId="16" xfId="0" applyFont="1" applyFill="1" applyBorder="1" applyAlignment="1">
      <alignment horizontal="center" vertical="center" wrapText="1"/>
    </xf>
    <xf numFmtId="0" fontId="10" fillId="3" borderId="52"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54" xfId="0" applyFont="1" applyFill="1" applyBorder="1" applyAlignment="1">
      <alignment horizontal="center"/>
    </xf>
    <xf numFmtId="0" fontId="10" fillId="3" borderId="4" xfId="0" applyFont="1" applyFill="1" applyBorder="1" applyAlignment="1">
      <alignment horizontal="center"/>
    </xf>
    <xf numFmtId="0" fontId="10" fillId="3" borderId="51" xfId="0" applyFont="1" applyFill="1" applyBorder="1" applyAlignment="1">
      <alignment horizontal="center"/>
    </xf>
    <xf numFmtId="0" fontId="0" fillId="0" borderId="2" xfId="0" applyBorder="1" applyAlignment="1">
      <alignment horizontal="left"/>
    </xf>
    <xf numFmtId="0" fontId="33" fillId="3" borderId="20" xfId="0" applyFont="1" applyFill="1" applyBorder="1" applyAlignment="1">
      <alignment horizontal="left"/>
    </xf>
    <xf numFmtId="0" fontId="33" fillId="3" borderId="21" xfId="0" applyFont="1" applyFill="1" applyBorder="1" applyAlignment="1">
      <alignment horizontal="left"/>
    </xf>
    <xf numFmtId="0" fontId="33" fillId="3" borderId="22" xfId="0" applyFont="1" applyFill="1" applyBorder="1" applyAlignment="1">
      <alignment horizontal="left"/>
    </xf>
    <xf numFmtId="0" fontId="64" fillId="3" borderId="25" xfId="0" applyFont="1" applyFill="1" applyBorder="1" applyAlignment="1">
      <alignment horizontal="center" vertical="center"/>
    </xf>
    <xf numFmtId="0" fontId="64" fillId="3" borderId="26" xfId="0" applyFont="1" applyFill="1" applyBorder="1" applyAlignment="1">
      <alignment horizontal="center" vertical="center"/>
    </xf>
    <xf numFmtId="0" fontId="64" fillId="3" borderId="27" xfId="0" applyFont="1" applyFill="1" applyBorder="1" applyAlignment="1">
      <alignment horizontal="center" vertical="center"/>
    </xf>
    <xf numFmtId="0" fontId="65" fillId="3" borderId="12" xfId="0" applyFont="1" applyFill="1" applyBorder="1" applyAlignment="1">
      <alignment horizontal="center"/>
    </xf>
    <xf numFmtId="0" fontId="65" fillId="3" borderId="77" xfId="0" applyFont="1" applyFill="1" applyBorder="1" applyAlignment="1">
      <alignment horizontal="center"/>
    </xf>
    <xf numFmtId="0" fontId="65" fillId="3" borderId="74" xfId="0" applyFont="1" applyFill="1" applyBorder="1" applyAlignment="1">
      <alignment horizontal="center"/>
    </xf>
    <xf numFmtId="0" fontId="0" fillId="4" borderId="2"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33" fillId="3" borderId="25" xfId="0" applyFont="1" applyFill="1" applyBorder="1" applyAlignment="1">
      <alignment horizontal="center"/>
    </xf>
    <xf numFmtId="0" fontId="33" fillId="3" borderId="26" xfId="0" applyFont="1" applyFill="1" applyBorder="1" applyAlignment="1">
      <alignment horizontal="center"/>
    </xf>
    <xf numFmtId="0" fontId="10" fillId="3" borderId="78" xfId="0" applyFont="1" applyFill="1" applyBorder="1" applyAlignment="1">
      <alignment horizontal="center"/>
    </xf>
    <xf numFmtId="0" fontId="10" fillId="3" borderId="49" xfId="0" applyFont="1" applyFill="1" applyBorder="1" applyAlignment="1">
      <alignment horizontal="center"/>
    </xf>
    <xf numFmtId="0" fontId="1" fillId="3" borderId="0" xfId="0" applyFont="1" applyFill="1" applyAlignment="1">
      <alignment horizontal="center"/>
    </xf>
    <xf numFmtId="0" fontId="9" fillId="0" borderId="0" xfId="0" applyFont="1" applyAlignment="1">
      <alignment horizontal="center"/>
    </xf>
    <xf numFmtId="0" fontId="0" fillId="0" borderId="0" xfId="0" applyAlignment="1">
      <alignment horizontal="center"/>
    </xf>
    <xf numFmtId="0" fontId="5" fillId="0" borderId="11" xfId="1" applyFont="1" applyBorder="1" applyAlignment="1">
      <alignment horizontal="left"/>
    </xf>
    <xf numFmtId="0" fontId="5" fillId="0" borderId="12" xfId="1" applyFont="1" applyBorder="1" applyAlignment="1">
      <alignment horizontal="left"/>
    </xf>
    <xf numFmtId="0" fontId="5" fillId="0" borderId="12" xfId="1" applyFont="1" applyFill="1" applyBorder="1" applyAlignment="1">
      <alignment horizontal="left"/>
    </xf>
    <xf numFmtId="0" fontId="5" fillId="0" borderId="10" xfId="1" applyFont="1" applyBorder="1" applyAlignment="1">
      <alignment horizontal="left"/>
    </xf>
    <xf numFmtId="0" fontId="5" fillId="0" borderId="0" xfId="1" applyFont="1" applyBorder="1" applyAlignment="1">
      <alignment horizontal="left"/>
    </xf>
    <xf numFmtId="0" fontId="5" fillId="0" borderId="0" xfId="1" applyFont="1" applyFill="1" applyBorder="1" applyAlignment="1">
      <alignment horizontal="left"/>
    </xf>
    <xf numFmtId="0" fontId="9" fillId="3" borderId="0" xfId="0" applyFont="1" applyFill="1" applyAlignment="1">
      <alignment horizontal="center"/>
    </xf>
    <xf numFmtId="0" fontId="0" fillId="3" borderId="0" xfId="0" applyFill="1" applyAlignment="1">
      <alignment horizontal="center"/>
    </xf>
    <xf numFmtId="1" fontId="0" fillId="4" borderId="1" xfId="0" applyNumberFormat="1" applyFill="1" applyBorder="1" applyAlignment="1" applyProtection="1">
      <alignment horizontal="center"/>
    </xf>
    <xf numFmtId="1" fontId="0" fillId="4" borderId="24" xfId="0" applyNumberFormat="1" applyFill="1" applyBorder="1" applyAlignment="1" applyProtection="1">
      <alignment horizontal="center"/>
    </xf>
    <xf numFmtId="0" fontId="37" fillId="4" borderId="1" xfId="0" quotePrefix="1" applyFont="1" applyFill="1" applyBorder="1" applyAlignment="1" applyProtection="1">
      <alignment horizontal="center"/>
    </xf>
    <xf numFmtId="0" fontId="37" fillId="4" borderId="24" xfId="0" quotePrefix="1" applyFont="1" applyFill="1" applyBorder="1" applyAlignment="1" applyProtection="1">
      <alignment horizontal="center"/>
    </xf>
    <xf numFmtId="1" fontId="0" fillId="0" borderId="1" xfId="0" applyNumberFormat="1" applyBorder="1" applyAlignment="1" applyProtection="1">
      <alignment horizontal="center"/>
    </xf>
    <xf numFmtId="1" fontId="0" fillId="0" borderId="24" xfId="0" applyNumberFormat="1" applyBorder="1" applyAlignment="1" applyProtection="1">
      <alignment horizontal="center"/>
    </xf>
    <xf numFmtId="2" fontId="0" fillId="0" borderId="1" xfId="0" applyNumberFormat="1" applyBorder="1" applyAlignment="1" applyProtection="1">
      <alignment horizontal="center"/>
    </xf>
    <xf numFmtId="2" fontId="0" fillId="0" borderId="24" xfId="0" applyNumberFormat="1" applyBorder="1" applyAlignment="1" applyProtection="1">
      <alignment horizontal="center"/>
    </xf>
    <xf numFmtId="2" fontId="0" fillId="0" borderId="13" xfId="0" applyNumberFormat="1" applyBorder="1" applyAlignment="1" applyProtection="1">
      <alignment horizontal="center"/>
    </xf>
    <xf numFmtId="2" fontId="0" fillId="0" borderId="23" xfId="0" applyNumberFormat="1" applyBorder="1" applyAlignment="1" applyProtection="1">
      <alignment horizontal="center"/>
    </xf>
  </cellXfs>
  <cellStyles count="3">
    <cellStyle name="Normal" xfId="0" builtinId="0"/>
    <cellStyle name="Normal 2" xfId="1"/>
    <cellStyle name="Percent" xfId="2" builtinId="5"/>
  </cellStyles>
  <dxfs count="139">
    <dxf>
      <font>
        <color theme="6" tint="0.79998168889431442"/>
      </font>
    </dxf>
    <dxf>
      <font>
        <b/>
        <i val="0"/>
      </font>
      <fill>
        <patternFill>
          <bgColor theme="3" tint="0.59996337778862885"/>
        </patternFill>
      </fill>
    </dxf>
    <dxf>
      <fill>
        <patternFill>
          <bgColor theme="7" tint="0.79998168889431442"/>
        </patternFill>
      </fill>
    </dxf>
    <dxf>
      <font>
        <color theme="0"/>
      </font>
    </dxf>
    <dxf>
      <font>
        <b/>
        <i val="0"/>
      </font>
      <fill>
        <patternFill>
          <bgColor theme="4" tint="0.39994506668294322"/>
        </patternFill>
      </fill>
    </dxf>
    <dxf>
      <fill>
        <patternFill>
          <bgColor indexed="43"/>
        </patternFill>
      </fill>
    </dxf>
    <dxf>
      <font>
        <condense val="0"/>
        <extend val="0"/>
        <color indexed="9"/>
      </font>
    </dxf>
    <dxf>
      <font>
        <condense val="0"/>
        <extend val="0"/>
        <color indexed="9"/>
      </font>
    </dxf>
    <dxf>
      <font>
        <color theme="6" tint="0.79998168889431442"/>
      </font>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font>
      <fill>
        <patternFill>
          <bgColor theme="3" tint="0.59996337778862885"/>
        </patternFill>
      </fill>
    </dxf>
    <dxf>
      <font>
        <color theme="0"/>
      </font>
    </dxf>
    <dxf>
      <fill>
        <patternFill>
          <bgColor theme="3" tint="0.59996337778862885"/>
        </patternFill>
      </fill>
    </dxf>
    <dxf>
      <fill>
        <patternFill>
          <bgColor indexed="43"/>
        </patternFill>
      </fill>
    </dxf>
    <dxf>
      <font>
        <condense val="0"/>
        <extend val="0"/>
        <color indexed="9"/>
      </font>
    </dxf>
    <dxf>
      <font>
        <condense val="0"/>
        <extend val="0"/>
        <color indexed="9"/>
      </font>
    </dxf>
    <dxf>
      <font>
        <b/>
        <i val="0"/>
      </font>
      <fill>
        <patternFill>
          <bgColor rgb="FFFFFF99"/>
        </patternFill>
      </fill>
    </dxf>
    <dxf>
      <font>
        <b/>
        <i val="0"/>
      </font>
      <fill>
        <patternFill>
          <bgColor theme="3" tint="0.59996337778862885"/>
        </patternFill>
      </fill>
    </dxf>
    <dxf>
      <font>
        <color theme="0"/>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i val="0"/>
      </font>
      <fill>
        <patternFill>
          <bgColor rgb="FFFFFF99"/>
        </patternFill>
      </fill>
    </dxf>
    <dxf>
      <font>
        <b/>
        <i val="0"/>
      </font>
      <fill>
        <patternFill>
          <bgColor theme="3" tint="0.59996337778862885"/>
        </patternFill>
      </fill>
    </dxf>
    <dxf>
      <font>
        <color theme="0"/>
      </font>
      <fill>
        <patternFill>
          <bgColor theme="0"/>
        </patternFill>
      </fill>
    </dxf>
    <dxf>
      <fill>
        <patternFill>
          <bgColor theme="4" tint="0.39994506668294322"/>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6" tint="0.79998168889431442"/>
      </font>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color theme="1"/>
      </font>
      <fill>
        <patternFill>
          <bgColor theme="4" tint="0.59996337778862885"/>
        </patternFill>
      </fill>
    </dxf>
    <dxf>
      <font>
        <b/>
        <i val="0"/>
      </font>
      <fill>
        <patternFill>
          <bgColor theme="3" tint="0.59996337778862885"/>
        </patternFill>
      </fill>
    </dxf>
    <dxf>
      <fill>
        <patternFill>
          <bgColor theme="3" tint="0.59996337778862885"/>
        </patternFill>
      </fill>
    </dxf>
    <dxf>
      <fill>
        <patternFill>
          <bgColor indexed="43"/>
        </patternFill>
      </fill>
    </dxf>
    <dxf>
      <font>
        <condense val="0"/>
        <extend val="0"/>
        <color indexed="9"/>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b/>
        <i val="0"/>
      </font>
      <fill>
        <patternFill>
          <bgColor rgb="FFFFFF99"/>
        </patternFill>
      </fill>
    </dxf>
    <dxf>
      <fill>
        <patternFill>
          <bgColor theme="4" tint="0.39994506668294322"/>
        </patternFill>
      </fill>
    </dxf>
    <dxf>
      <font>
        <condense val="0"/>
        <extend val="0"/>
        <color indexed="9"/>
      </font>
    </dxf>
    <dxf>
      <font>
        <color theme="6" tint="0.79998168889431442"/>
      </font>
    </dxf>
    <dxf>
      <font>
        <b/>
        <i val="0"/>
      </font>
      <fill>
        <patternFill>
          <bgColor theme="3" tint="0.59996337778862885"/>
        </patternFill>
      </fill>
    </dxf>
    <dxf>
      <fill>
        <patternFill>
          <bgColor theme="7" tint="0.79998168889431442"/>
        </patternFill>
      </fill>
    </dxf>
    <dxf>
      <font>
        <color theme="0"/>
      </font>
    </dxf>
    <dxf>
      <font>
        <b/>
        <i val="0"/>
      </font>
      <fill>
        <patternFill>
          <bgColor theme="4" tint="0.39994506668294322"/>
        </patternFill>
      </fill>
    </dxf>
    <dxf>
      <fill>
        <patternFill>
          <bgColor indexed="43"/>
        </patternFill>
      </fill>
    </dxf>
    <dxf>
      <font>
        <condense val="0"/>
        <extend val="0"/>
        <color indexed="9"/>
      </font>
    </dxf>
    <dxf>
      <font>
        <condense val="0"/>
        <extend val="0"/>
        <color indexed="9"/>
      </font>
    </dxf>
    <dxf>
      <font>
        <color theme="0"/>
      </font>
    </dxf>
    <dxf>
      <font>
        <color theme="0"/>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ndense val="0"/>
        <extend val="0"/>
        <color indexed="9"/>
      </font>
    </dxf>
    <dxf>
      <font>
        <condense val="0"/>
        <extend val="0"/>
        <color indexed="9"/>
      </font>
    </dxf>
    <dxf>
      <font>
        <color theme="0"/>
      </font>
    </dxf>
    <dxf>
      <font>
        <condense val="0"/>
        <extend val="0"/>
        <color indexed="9"/>
      </font>
    </dxf>
    <dxf>
      <font>
        <color theme="0"/>
      </font>
    </dxf>
    <dxf>
      <font>
        <condense val="0"/>
        <extend val="0"/>
        <color indexed="9"/>
      </font>
    </dxf>
    <dxf>
      <font>
        <b/>
        <i val="0"/>
      </font>
      <fill>
        <patternFill>
          <bgColor rgb="FFFFFF99"/>
        </patternFill>
      </fill>
    </dxf>
    <dxf>
      <font>
        <b/>
        <i val="0"/>
      </font>
      <fill>
        <patternFill>
          <bgColor theme="4" tint="0.39994506668294322"/>
        </patternFill>
      </fill>
    </dxf>
    <dxf>
      <font>
        <condense val="0"/>
        <extend val="0"/>
        <color indexed="9"/>
      </font>
    </dxf>
    <dxf>
      <font>
        <color theme="6" tint="0.79998168889431442"/>
      </font>
    </dxf>
    <dxf>
      <font>
        <b/>
        <i val="0"/>
      </font>
      <fill>
        <patternFill>
          <bgColor theme="3" tint="0.59996337778862885"/>
        </patternFill>
      </fill>
    </dxf>
    <dxf>
      <fill>
        <patternFill>
          <bgColor theme="7" tint="0.79998168889431442"/>
        </patternFill>
      </fill>
    </dxf>
    <dxf>
      <font>
        <color theme="0"/>
      </font>
    </dxf>
    <dxf>
      <font>
        <b/>
        <i val="0"/>
      </font>
      <fill>
        <patternFill>
          <bgColor theme="4" tint="0.39994506668294322"/>
        </patternFill>
      </fill>
    </dxf>
    <dxf>
      <fill>
        <patternFill>
          <bgColor indexed="43"/>
        </patternFill>
      </fill>
    </dxf>
    <dxf>
      <font>
        <condense val="0"/>
        <extend val="0"/>
        <color indexed="9"/>
      </font>
    </dxf>
    <dxf>
      <font>
        <condense val="0"/>
        <extend val="0"/>
        <color indexed="9"/>
      </font>
    </dxf>
    <dxf>
      <font>
        <color theme="6" tint="0.79998168889431442"/>
      </font>
      <fill>
        <patternFill>
          <bgColor theme="6" tint="0.79998168889431442"/>
        </patternFill>
      </fill>
    </dxf>
    <dxf>
      <font>
        <strike val="0"/>
        <color theme="6" tint="0.79998168889431442"/>
      </font>
      <fill>
        <patternFill>
          <bgColor theme="6" tint="0.79998168889431442"/>
        </patternFill>
      </fill>
    </dxf>
    <dxf>
      <font>
        <color auto="1"/>
      </font>
      <fill>
        <patternFill>
          <bgColor theme="4" tint="0.59996337778862885"/>
        </patternFill>
      </fill>
    </dxf>
  </dxfs>
  <tableStyles count="0" defaultTableStyle="TableStyleMedium9" defaultPivotStyle="PivotStyleLight16"/>
  <colors>
    <mruColors>
      <color rgb="FFDE3E12"/>
      <color rgb="FFFFFF99"/>
      <color rgb="FF01FF74"/>
      <color rgb="FF03EF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6</xdr:col>
      <xdr:colOff>304800</xdr:colOff>
      <xdr:row>8</xdr:row>
      <xdr:rowOff>114300</xdr:rowOff>
    </xdr:from>
    <xdr:to>
      <xdr:col>8</xdr:col>
      <xdr:colOff>561975</xdr:colOff>
      <xdr:row>14</xdr:row>
      <xdr:rowOff>104774</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4962525" y="1743075"/>
          <a:ext cx="1676400" cy="1133474"/>
        </a:xfrm>
        <a:prstGeom prst="wedgeRoundRectCallout">
          <a:avLst>
            <a:gd name="adj1" fmla="val -67901"/>
            <a:gd name="adj2" fmla="val -16697"/>
            <a:gd name="adj3" fmla="val 16667"/>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lang="en-US" sz="1100" b="1" i="1"/>
            <a:t>Insert Project</a:t>
          </a:r>
          <a:r>
            <a:rPr lang="en-US" sz="1100" b="1" i="1" baseline="0"/>
            <a:t> Information Here in the </a:t>
          </a:r>
          <a:r>
            <a:rPr lang="en-US" sz="1100" b="1" i="1" baseline="0">
              <a:solidFill>
                <a:schemeClr val="tx2">
                  <a:lumMod val="60000"/>
                  <a:lumOff val="40000"/>
                </a:schemeClr>
              </a:solidFill>
            </a:rPr>
            <a:t>BLUE SPACE</a:t>
          </a:r>
          <a:r>
            <a:rPr lang="en-US" sz="1100" b="1" i="1" baseline="0"/>
            <a:t>.  This information is linked to the Mini, Single Lane and Multi Lane </a:t>
          </a:r>
          <a:r>
            <a:rPr lang="en-US" sz="1050" b="1" i="1" baseline="0"/>
            <a:t>Worksheets.</a:t>
          </a:r>
          <a:endParaRPr lang="en-US" sz="1100" b="1" i="1" baseline="0"/>
        </a:p>
      </xdr:txBody>
    </xdr:sp>
    <xdr:clientData/>
  </xdr:twoCellAnchor>
  <xdr:twoCellAnchor>
    <xdr:from>
      <xdr:col>0</xdr:col>
      <xdr:colOff>38100</xdr:colOff>
      <xdr:row>3</xdr:row>
      <xdr:rowOff>161925</xdr:rowOff>
    </xdr:from>
    <xdr:to>
      <xdr:col>8</xdr:col>
      <xdr:colOff>133350</xdr:colOff>
      <xdr:row>7</xdr:row>
      <xdr:rowOff>104774</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8100" y="838200"/>
          <a:ext cx="6172200" cy="704849"/>
        </a:xfrm>
        <a:prstGeom prst="rect">
          <a:avLst/>
        </a:prstGeom>
        <a:solidFill>
          <a:schemeClr val="accent3">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000" b="1"/>
            <a:t>Welcome to GDOT's Roundabout Analysis Tool.  This tool is designed for the user to determine the functionality of a proposed roundabout.  The analysis is based on the</a:t>
          </a:r>
          <a:r>
            <a:rPr lang="en-US" sz="1000" b="1" baseline="0"/>
            <a:t> Highway Capacity Manual 2010 Edition and 6th Edition Methodologies, </a:t>
          </a:r>
          <a:r>
            <a:rPr lang="en-US" sz="1000" b="1"/>
            <a:t>NCHRP</a:t>
          </a:r>
          <a:r>
            <a:rPr lang="en-US" sz="1000" b="1" baseline="0"/>
            <a:t> Report 672, and </a:t>
          </a:r>
          <a:r>
            <a:rPr lang="en-US" sz="1000" b="1"/>
            <a:t>FHWA's Roundabout Informational Guide.  Please read the notes in the </a:t>
          </a:r>
          <a:r>
            <a:rPr lang="en-US" sz="1000" b="1" u="sng">
              <a:solidFill>
                <a:srgbClr val="FF0000"/>
              </a:solidFill>
            </a:rPr>
            <a:t>Instructions</a:t>
          </a:r>
          <a:r>
            <a:rPr lang="en-US" sz="1000" b="1"/>
            <a:t> tab before using the spreadsheet.</a:t>
          </a:r>
        </a:p>
      </xdr:txBody>
    </xdr:sp>
    <xdr:clientData/>
  </xdr:twoCellAnchor>
  <xdr:twoCellAnchor>
    <xdr:from>
      <xdr:col>0</xdr:col>
      <xdr:colOff>114300</xdr:colOff>
      <xdr:row>18</xdr:row>
      <xdr:rowOff>47625</xdr:rowOff>
    </xdr:from>
    <xdr:to>
      <xdr:col>7</xdr:col>
      <xdr:colOff>485775</xdr:colOff>
      <xdr:row>23</xdr:row>
      <xdr:rowOff>0</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14300" y="3581400"/>
          <a:ext cx="5810250"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Roundabouts may not operate well if there is too much traffic entering the intersection or if the percentage of traffic on the major road is too high. Candidate intersections shall be analyzed to determine whether a roundabout will perform acceptably. Shown below are planning level thresholds. A capacity</a:t>
          </a:r>
          <a:r>
            <a:rPr lang="en-US" sz="1100" baseline="0"/>
            <a:t> analysis should be performed to determine lane configuration based on traffic volumes. </a:t>
          </a:r>
          <a:endParaRPr lang="en-US" sz="1100"/>
        </a:p>
      </xdr:txBody>
    </xdr:sp>
    <xdr:clientData/>
  </xdr:twoCellAnchor>
  <xdr:twoCellAnchor>
    <xdr:from>
      <xdr:col>0</xdr:col>
      <xdr:colOff>114299</xdr:colOff>
      <xdr:row>27</xdr:row>
      <xdr:rowOff>123826</xdr:rowOff>
    </xdr:from>
    <xdr:to>
      <xdr:col>7</xdr:col>
      <xdr:colOff>514349</xdr:colOff>
      <xdr:row>31</xdr:row>
      <xdr:rowOff>85726</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14299" y="5372101"/>
          <a:ext cx="5838825"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Other things to consider when evaluating roundabouts as an alternative are Right of Way, sight distance, environmental impacts, and access to adjacent properties.</a:t>
          </a:r>
        </a:p>
      </xdr:txBody>
    </xdr:sp>
    <xdr:clientData/>
  </xdr:twoCellAnchor>
  <xdr:twoCellAnchor>
    <xdr:from>
      <xdr:col>0</xdr:col>
      <xdr:colOff>133350</xdr:colOff>
      <xdr:row>52</xdr:row>
      <xdr:rowOff>114300</xdr:rowOff>
    </xdr:from>
    <xdr:to>
      <xdr:col>7</xdr:col>
      <xdr:colOff>523876</xdr:colOff>
      <xdr:row>63</xdr:row>
      <xdr:rowOff>1</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33350" y="9925050"/>
          <a:ext cx="5829301" cy="19812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000">
              <a:solidFill>
                <a:schemeClr val="dk1"/>
              </a:solidFill>
              <a:latin typeface="+mn-lt"/>
              <a:ea typeface="+mn-ea"/>
              <a:cs typeface="+mn-cs"/>
            </a:rPr>
            <a:t>Disclaimer:  This Excel workbook is provided for use by persons outside of the Georgia Department of Transportation (GDOT) as information only.  GDOT, the State of Georgia, nor its officers or employees, by making this workbook available for use by persons outside of GDOT, do not undertake any duties or responsibilities of any such person or entity who chooses to use this document.  This workbook should not be substituted for the exercise of a person's own professional judgment nor the determination by contractors of the appropriate manner and method of construction on projects under their control.  It is the user's obligation to make sure that he/she uses the appropriate practices.  You are advised to test the program thoroughly before you rely on it.  Should the program prove defective, you (and not GDOT or the State of Georgia) assumes the entire responsibility.  Any person using this workbook agrees that GDOT will not be liable for any commercial loss; inconvenience; loss of use, time, data, goodwill, revenues, profits, or savings; or any other special, incidental, indirect, or consequential damages in any way related to or arising from use of this workbook.</a:t>
          </a:r>
          <a:endParaRPr lang="en-US" sz="1000"/>
        </a:p>
      </xdr:txBody>
    </xdr:sp>
    <xdr:clientData/>
  </xdr:twoCellAnchor>
  <xdr:twoCellAnchor>
    <xdr:from>
      <xdr:col>23</xdr:col>
      <xdr:colOff>285750</xdr:colOff>
      <xdr:row>24</xdr:row>
      <xdr:rowOff>161925</xdr:rowOff>
    </xdr:from>
    <xdr:to>
      <xdr:col>28</xdr:col>
      <xdr:colOff>352425</xdr:colOff>
      <xdr:row>34</xdr:row>
      <xdr:rowOff>9525</xdr:rowOff>
    </xdr:to>
    <xdr:sp macro="" textlink="">
      <xdr:nvSpPr>
        <xdr:cNvPr id="23" name="Oval 22">
          <a:extLst>
            <a:ext uri="{FF2B5EF4-FFF2-40B4-BE49-F238E27FC236}">
              <a16:creationId xmlns:a16="http://schemas.microsoft.com/office/drawing/2014/main" id="{00000000-0008-0000-0000-000017000000}"/>
            </a:ext>
          </a:extLst>
        </xdr:cNvPr>
        <xdr:cNvSpPr/>
      </xdr:nvSpPr>
      <xdr:spPr>
        <a:xfrm>
          <a:off x="15506700" y="4838700"/>
          <a:ext cx="1666875" cy="1752600"/>
        </a:xfrm>
        <a:prstGeom prst="ellipse">
          <a:avLst/>
        </a:prstGeom>
        <a:solidFill>
          <a:schemeClr val="accent3"/>
        </a:solidFill>
        <a:ln w="38100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25</xdr:col>
      <xdr:colOff>219075</xdr:colOff>
      <xdr:row>20</xdr:row>
      <xdr:rowOff>161926</xdr:rowOff>
    </xdr:from>
    <xdr:to>
      <xdr:col>26</xdr:col>
      <xdr:colOff>57151</xdr:colOff>
      <xdr:row>23</xdr:row>
      <xdr:rowOff>142876</xdr:rowOff>
    </xdr:to>
    <xdr:sp macro="" textlink="">
      <xdr:nvSpPr>
        <xdr:cNvPr id="24" name="Isosceles Triangle 23">
          <a:extLst>
            <a:ext uri="{FF2B5EF4-FFF2-40B4-BE49-F238E27FC236}">
              <a16:creationId xmlns:a16="http://schemas.microsoft.com/office/drawing/2014/main" id="{00000000-0008-0000-0000-000018000000}"/>
            </a:ext>
          </a:extLst>
        </xdr:cNvPr>
        <xdr:cNvSpPr/>
      </xdr:nvSpPr>
      <xdr:spPr>
        <a:xfrm>
          <a:off x="16297275" y="4076701"/>
          <a:ext cx="85726" cy="552450"/>
        </a:xfrm>
        <a:prstGeom prst="triangle">
          <a:avLst/>
        </a:prstGeom>
        <a:ln w="19050">
          <a:solidFill>
            <a:srgbClr val="FFFF00"/>
          </a:solidFill>
        </a:ln>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endParaRPr lang="en-US" sz="1100"/>
        </a:p>
      </xdr:txBody>
    </xdr:sp>
    <xdr:clientData/>
  </xdr:twoCellAnchor>
  <xdr:twoCellAnchor>
    <xdr:from>
      <xdr:col>25</xdr:col>
      <xdr:colOff>200025</xdr:colOff>
      <xdr:row>34</xdr:row>
      <xdr:rowOff>28575</xdr:rowOff>
    </xdr:from>
    <xdr:to>
      <xdr:col>26</xdr:col>
      <xdr:colOff>47625</xdr:colOff>
      <xdr:row>38</xdr:row>
      <xdr:rowOff>57150</xdr:rowOff>
    </xdr:to>
    <xdr:sp macro="" textlink="">
      <xdr:nvSpPr>
        <xdr:cNvPr id="25" name="Isosceles Triangle 24">
          <a:extLst>
            <a:ext uri="{FF2B5EF4-FFF2-40B4-BE49-F238E27FC236}">
              <a16:creationId xmlns:a16="http://schemas.microsoft.com/office/drawing/2014/main" id="{00000000-0008-0000-0000-000019000000}"/>
            </a:ext>
          </a:extLst>
        </xdr:cNvPr>
        <xdr:cNvSpPr/>
      </xdr:nvSpPr>
      <xdr:spPr>
        <a:xfrm flipV="1">
          <a:off x="16278225" y="6610350"/>
          <a:ext cx="95250" cy="581025"/>
        </a:xfrm>
        <a:prstGeom prst="triangle">
          <a:avLst/>
        </a:prstGeom>
        <a:ln w="19050">
          <a:solidFill>
            <a:srgbClr val="FFFF00"/>
          </a:solidFill>
        </a:ln>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endParaRPr lang="en-US" sz="1100"/>
        </a:p>
      </xdr:txBody>
    </xdr:sp>
    <xdr:clientData/>
  </xdr:twoCellAnchor>
  <xdr:twoCellAnchor>
    <xdr:from>
      <xdr:col>28</xdr:col>
      <xdr:colOff>514350</xdr:colOff>
      <xdr:row>28</xdr:row>
      <xdr:rowOff>142875</xdr:rowOff>
    </xdr:from>
    <xdr:to>
      <xdr:col>29</xdr:col>
      <xdr:colOff>457200</xdr:colOff>
      <xdr:row>29</xdr:row>
      <xdr:rowOff>66675</xdr:rowOff>
    </xdr:to>
    <xdr:sp macro="" textlink="">
      <xdr:nvSpPr>
        <xdr:cNvPr id="26" name="Isosceles Triangle 25">
          <a:extLst>
            <a:ext uri="{FF2B5EF4-FFF2-40B4-BE49-F238E27FC236}">
              <a16:creationId xmlns:a16="http://schemas.microsoft.com/office/drawing/2014/main" id="{00000000-0008-0000-0000-00001A000000}"/>
            </a:ext>
          </a:extLst>
        </xdr:cNvPr>
        <xdr:cNvSpPr/>
      </xdr:nvSpPr>
      <xdr:spPr>
        <a:xfrm rot="5400000">
          <a:off x="17554575" y="5362575"/>
          <a:ext cx="114300" cy="552450"/>
        </a:xfrm>
        <a:prstGeom prst="triangle">
          <a:avLst/>
        </a:prstGeom>
        <a:ln w="19050">
          <a:solidFill>
            <a:srgbClr val="FFFF00"/>
          </a:solidFill>
        </a:ln>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endParaRPr lang="en-US" sz="1100"/>
        </a:p>
      </xdr:txBody>
    </xdr:sp>
    <xdr:clientData/>
  </xdr:twoCellAnchor>
  <xdr:twoCellAnchor>
    <xdr:from>
      <xdr:col>22</xdr:col>
      <xdr:colOff>161925</xdr:colOff>
      <xdr:row>28</xdr:row>
      <xdr:rowOff>142875</xdr:rowOff>
    </xdr:from>
    <xdr:to>
      <xdr:col>23</xdr:col>
      <xdr:colOff>104775</xdr:colOff>
      <xdr:row>29</xdr:row>
      <xdr:rowOff>66675</xdr:rowOff>
    </xdr:to>
    <xdr:sp macro="" textlink="">
      <xdr:nvSpPr>
        <xdr:cNvPr id="27" name="Isosceles Triangle 26">
          <a:extLst>
            <a:ext uri="{FF2B5EF4-FFF2-40B4-BE49-F238E27FC236}">
              <a16:creationId xmlns:a16="http://schemas.microsoft.com/office/drawing/2014/main" id="{00000000-0008-0000-0000-00001B000000}"/>
            </a:ext>
          </a:extLst>
        </xdr:cNvPr>
        <xdr:cNvSpPr/>
      </xdr:nvSpPr>
      <xdr:spPr>
        <a:xfrm rot="16200000" flipH="1">
          <a:off x="14992350" y="5362575"/>
          <a:ext cx="114300" cy="552450"/>
        </a:xfrm>
        <a:prstGeom prst="triangle">
          <a:avLst/>
        </a:prstGeom>
        <a:ln w="19050">
          <a:solidFill>
            <a:srgbClr val="FFFF00"/>
          </a:solidFill>
        </a:ln>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endParaRPr lang="en-US" sz="1100"/>
        </a:p>
      </xdr:txBody>
    </xdr:sp>
    <xdr:clientData/>
  </xdr:twoCellAnchor>
  <xdr:twoCellAnchor>
    <xdr:from>
      <xdr:col>9</xdr:col>
      <xdr:colOff>438149</xdr:colOff>
      <xdr:row>12</xdr:row>
      <xdr:rowOff>28575</xdr:rowOff>
    </xdr:from>
    <xdr:to>
      <xdr:col>18</xdr:col>
      <xdr:colOff>590550</xdr:colOff>
      <xdr:row>22</xdr:row>
      <xdr:rowOff>114300</xdr:rowOff>
    </xdr:to>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7124699" y="2419350"/>
          <a:ext cx="5638801" cy="1990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200" b="1" u="sng"/>
            <a:t>Proposed Design Configuration Chart</a:t>
          </a:r>
        </a:p>
        <a:p>
          <a:endParaRPr lang="en-US" sz="1200" b="1" u="sng"/>
        </a:p>
        <a:p>
          <a:r>
            <a:rPr lang="en-US" sz="1200" b="1" i="1" u="sng"/>
            <a:t>Directions</a:t>
          </a:r>
          <a:r>
            <a:rPr lang="en-US" sz="1200" b="1" i="1" u="sng" baseline="0"/>
            <a:t> for this Section only</a:t>
          </a:r>
          <a:r>
            <a:rPr lang="en-US" sz="1200" b="1" u="sng"/>
            <a:t>:</a:t>
          </a:r>
          <a:r>
            <a:rPr lang="en-US" sz="1200" b="1" u="none"/>
            <a:t> </a:t>
          </a:r>
          <a:r>
            <a:rPr lang="en-US" sz="900" b="0" i="1" u="none"/>
            <a:t>(see </a:t>
          </a:r>
          <a:r>
            <a:rPr lang="en-US" sz="900" b="1" i="1" u="none"/>
            <a:t>Instructions Tab</a:t>
          </a:r>
          <a:r>
            <a:rPr lang="en-US" sz="900" b="0" i="1" u="none" baseline="0"/>
            <a:t> for other sections)</a:t>
          </a:r>
          <a:endParaRPr lang="en-US" sz="1200" b="0" i="1" u="none"/>
        </a:p>
        <a:p>
          <a:r>
            <a:rPr lang="en-US" sz="1100"/>
            <a:t>1. </a:t>
          </a:r>
          <a:r>
            <a:rPr lang="en-US" sz="1100" baseline="0"/>
            <a:t> </a:t>
          </a:r>
          <a:r>
            <a:rPr lang="en-US" sz="1100" u="sng" baseline="0">
              <a:solidFill>
                <a:srgbClr val="C00000"/>
              </a:solidFill>
            </a:rPr>
            <a:t>Select</a:t>
          </a:r>
          <a:r>
            <a:rPr lang="en-US" sz="1100" baseline="0"/>
            <a:t> the type of roundabout you are analyzing.</a:t>
          </a:r>
        </a:p>
        <a:p>
          <a:r>
            <a:rPr lang="en-US" sz="1100" baseline="0"/>
            <a:t>2.  </a:t>
          </a:r>
          <a:r>
            <a:rPr lang="en-US" sz="1100" u="sng" baseline="0">
              <a:solidFill>
                <a:srgbClr val="00B0F0"/>
              </a:solidFill>
            </a:rPr>
            <a:t>Key in</a:t>
          </a:r>
          <a:r>
            <a:rPr lang="en-US" sz="1100" baseline="0">
              <a:solidFill>
                <a:srgbClr val="00B0F0"/>
              </a:solidFill>
            </a:rPr>
            <a:t> </a:t>
          </a:r>
          <a:r>
            <a:rPr lang="en-US" sz="1100" baseline="0"/>
            <a:t>the number of approaches and the street names at the proposed intersections.</a:t>
          </a:r>
        </a:p>
        <a:p>
          <a:r>
            <a:rPr lang="en-US" sz="1100" baseline="0"/>
            <a:t>3.  Complete the Approach Characteristics Chart:</a:t>
          </a:r>
        </a:p>
        <a:p>
          <a:r>
            <a:rPr lang="en-US" sz="1100" baseline="0"/>
            <a:t>      a.  </a:t>
          </a:r>
          <a:r>
            <a:rPr lang="en-US" sz="1100" u="sng" baseline="0">
              <a:solidFill>
                <a:srgbClr val="C00000"/>
              </a:solidFill>
            </a:rPr>
            <a:t>Select</a:t>
          </a:r>
          <a:r>
            <a:rPr lang="en-US" sz="1100" baseline="0"/>
            <a:t> the Street Name from the pulldown menu for each approach leg</a:t>
          </a:r>
        </a:p>
        <a:p>
          <a:r>
            <a:rPr lang="en-US" sz="1100" baseline="0"/>
            <a:t>      b.  </a:t>
          </a:r>
          <a:r>
            <a:rPr lang="en-US" sz="1100" u="sng" baseline="0">
              <a:solidFill>
                <a:srgbClr val="C00000"/>
              </a:solidFill>
            </a:rPr>
            <a:t>Select</a:t>
          </a:r>
          <a:r>
            <a:rPr lang="en-US" sz="1100" baseline="0"/>
            <a:t> the Lane Type for each entry apporach lane</a:t>
          </a:r>
        </a:p>
        <a:p>
          <a:r>
            <a:rPr lang="en-US" sz="1100" baseline="0"/>
            <a:t>            </a:t>
          </a:r>
          <a:r>
            <a:rPr lang="en-US" sz="1050" i="1" baseline="0"/>
            <a:t>*The first box is the inner lane, the second box is the outer lane</a:t>
          </a:r>
          <a:endParaRPr lang="en-US" sz="1100" i="1" baseline="0"/>
        </a:p>
        <a:p>
          <a:r>
            <a:rPr lang="en-US" sz="1100" baseline="0"/>
            <a:t>      c.   </a:t>
          </a:r>
          <a:r>
            <a:rPr lang="en-US" sz="1100" u="sng" baseline="0">
              <a:solidFill>
                <a:srgbClr val="C00000"/>
              </a:solidFill>
            </a:rPr>
            <a:t>Select</a:t>
          </a:r>
          <a:r>
            <a:rPr lang="en-US" sz="1100" baseline="0"/>
            <a:t> Yes or No if a right turn bypass will be added to each approach leg</a:t>
          </a:r>
          <a:endParaRPr lang="en-US" sz="1100"/>
        </a:p>
      </xdr:txBody>
    </xdr:sp>
    <xdr:clientData/>
  </xdr:twoCellAnchor>
  <xdr:twoCellAnchor>
    <xdr:from>
      <xdr:col>22</xdr:col>
      <xdr:colOff>295275</xdr:colOff>
      <xdr:row>41</xdr:row>
      <xdr:rowOff>47625</xdr:rowOff>
    </xdr:from>
    <xdr:to>
      <xdr:col>22</xdr:col>
      <xdr:colOff>314325</xdr:colOff>
      <xdr:row>51</xdr:row>
      <xdr:rowOff>104775</xdr:rowOff>
    </xdr:to>
    <xdr:cxnSp macro="">
      <xdr:nvCxnSpPr>
        <xdr:cNvPr id="30" name="Straight Connector 29">
          <a:extLst>
            <a:ext uri="{FF2B5EF4-FFF2-40B4-BE49-F238E27FC236}">
              <a16:creationId xmlns:a16="http://schemas.microsoft.com/office/drawing/2014/main" id="{00000000-0008-0000-0000-00001E000000}"/>
            </a:ext>
          </a:extLst>
        </xdr:cNvPr>
        <xdr:cNvCxnSpPr/>
      </xdr:nvCxnSpPr>
      <xdr:spPr>
        <a:xfrm rot="16200000" flipH="1">
          <a:off x="13935075" y="8734425"/>
          <a:ext cx="1962150" cy="19050"/>
        </a:xfrm>
        <a:prstGeom prst="line">
          <a:avLst/>
        </a:prstGeom>
        <a:ln w="9525">
          <a:solidFill>
            <a:schemeClr val="tx1">
              <a:lumMod val="95000"/>
              <a:lumOff val="5000"/>
            </a:schemeClr>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495302</xdr:colOff>
      <xdr:row>46</xdr:row>
      <xdr:rowOff>66674</xdr:rowOff>
    </xdr:from>
    <xdr:to>
      <xdr:col>27</xdr:col>
      <xdr:colOff>95250</xdr:colOff>
      <xdr:row>46</xdr:row>
      <xdr:rowOff>76199</xdr:rowOff>
    </xdr:to>
    <xdr:cxnSp macro="">
      <xdr:nvCxnSpPr>
        <xdr:cNvPr id="32" name="Straight Connector 31">
          <a:extLst>
            <a:ext uri="{FF2B5EF4-FFF2-40B4-BE49-F238E27FC236}">
              <a16:creationId xmlns:a16="http://schemas.microsoft.com/office/drawing/2014/main" id="{00000000-0008-0000-0000-000020000000}"/>
            </a:ext>
          </a:extLst>
        </xdr:cNvPr>
        <xdr:cNvCxnSpPr/>
      </xdr:nvCxnSpPr>
      <xdr:spPr>
        <a:xfrm rot="10800000" flipV="1">
          <a:off x="13277852" y="8734424"/>
          <a:ext cx="3390898" cy="9525"/>
        </a:xfrm>
        <a:prstGeom prst="line">
          <a:avLst/>
        </a:prstGeom>
        <a:ln w="9525">
          <a:solidFill>
            <a:schemeClr val="tx1">
              <a:lumMod val="95000"/>
              <a:lumOff val="5000"/>
            </a:schemeClr>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76200</xdr:colOff>
      <xdr:row>44</xdr:row>
      <xdr:rowOff>142874</xdr:rowOff>
    </xdr:from>
    <xdr:to>
      <xdr:col>22</xdr:col>
      <xdr:colOff>542925</xdr:colOff>
      <xdr:row>47</xdr:row>
      <xdr:rowOff>190499</xdr:rowOff>
    </xdr:to>
    <xdr:cxnSp macro="">
      <xdr:nvCxnSpPr>
        <xdr:cNvPr id="37" name="Straight Connector 36">
          <a:extLst>
            <a:ext uri="{FF2B5EF4-FFF2-40B4-BE49-F238E27FC236}">
              <a16:creationId xmlns:a16="http://schemas.microsoft.com/office/drawing/2014/main" id="{00000000-0008-0000-0000-000025000000}"/>
            </a:ext>
          </a:extLst>
        </xdr:cNvPr>
        <xdr:cNvCxnSpPr/>
      </xdr:nvCxnSpPr>
      <xdr:spPr>
        <a:xfrm rot="16200000" flipH="1">
          <a:off x="14611350" y="8505824"/>
          <a:ext cx="619125" cy="466725"/>
        </a:xfrm>
        <a:prstGeom prst="line">
          <a:avLst/>
        </a:prstGeom>
        <a:ln w="38100">
          <a:solidFill>
            <a:schemeClr val="bg1">
              <a:lumMod val="65000"/>
            </a:schemeClr>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76204</xdr:colOff>
      <xdr:row>44</xdr:row>
      <xdr:rowOff>123828</xdr:rowOff>
    </xdr:from>
    <xdr:to>
      <xdr:col>22</xdr:col>
      <xdr:colOff>533400</xdr:colOff>
      <xdr:row>48</xdr:row>
      <xdr:rowOff>4</xdr:rowOff>
    </xdr:to>
    <xdr:cxnSp macro="">
      <xdr:nvCxnSpPr>
        <xdr:cNvPr id="42" name="Straight Connector 41">
          <a:extLst>
            <a:ext uri="{FF2B5EF4-FFF2-40B4-BE49-F238E27FC236}">
              <a16:creationId xmlns:a16="http://schemas.microsoft.com/office/drawing/2014/main" id="{00000000-0008-0000-0000-00002A000000}"/>
            </a:ext>
          </a:extLst>
        </xdr:cNvPr>
        <xdr:cNvCxnSpPr/>
      </xdr:nvCxnSpPr>
      <xdr:spPr>
        <a:xfrm rot="5400000">
          <a:off x="14597064" y="8501068"/>
          <a:ext cx="638176" cy="457196"/>
        </a:xfrm>
        <a:prstGeom prst="line">
          <a:avLst/>
        </a:prstGeom>
        <a:ln w="38100">
          <a:solidFill>
            <a:schemeClr val="bg1">
              <a:lumMod val="65000"/>
            </a:schemeClr>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180975</xdr:colOff>
      <xdr:row>45</xdr:row>
      <xdr:rowOff>142875</xdr:rowOff>
    </xdr:from>
    <xdr:to>
      <xdr:col>22</xdr:col>
      <xdr:colOff>419100</xdr:colOff>
      <xdr:row>46</xdr:row>
      <xdr:rowOff>180975</xdr:rowOff>
    </xdr:to>
    <xdr:sp macro="" textlink="">
      <xdr:nvSpPr>
        <xdr:cNvPr id="36" name="Oval 35">
          <a:extLst>
            <a:ext uri="{FF2B5EF4-FFF2-40B4-BE49-F238E27FC236}">
              <a16:creationId xmlns:a16="http://schemas.microsoft.com/office/drawing/2014/main" id="{00000000-0008-0000-0000-000024000000}"/>
            </a:ext>
          </a:extLst>
        </xdr:cNvPr>
        <xdr:cNvSpPr/>
      </xdr:nvSpPr>
      <xdr:spPr>
        <a:xfrm>
          <a:off x="14792325" y="8620125"/>
          <a:ext cx="238125" cy="228600"/>
        </a:xfrm>
        <a:prstGeom prst="ellipse">
          <a:avLst/>
        </a:prstGeom>
        <a:ln w="57150">
          <a:solidFill>
            <a:schemeClr val="bg1">
              <a:lumMod val="65000"/>
            </a:schemeClr>
          </a:solidFill>
          <a:prstDash val="solid"/>
        </a:ln>
      </xdr:spPr>
      <xdr:style>
        <a:lnRef idx="2">
          <a:schemeClr val="accent3">
            <a:shade val="50000"/>
          </a:schemeClr>
        </a:lnRef>
        <a:fillRef idx="1">
          <a:schemeClr val="accent3"/>
        </a:fillRef>
        <a:effectRef idx="0">
          <a:schemeClr val="accent3"/>
        </a:effectRef>
        <a:fontRef idx="minor">
          <a:schemeClr val="lt1"/>
        </a:fontRef>
      </xdr:style>
      <xdr:txBody>
        <a:bodyPr rtlCol="0" anchor="ctr"/>
        <a:lstStyle/>
        <a:p>
          <a:pPr algn="ctr"/>
          <a:endParaRPr lang="en-US" sz="1100"/>
        </a:p>
      </xdr:txBody>
    </xdr:sp>
    <xdr:clientData/>
  </xdr:twoCellAnchor>
  <xdr:twoCellAnchor>
    <xdr:from>
      <xdr:col>28</xdr:col>
      <xdr:colOff>323850</xdr:colOff>
      <xdr:row>44</xdr:row>
      <xdr:rowOff>114301</xdr:rowOff>
    </xdr:from>
    <xdr:to>
      <xdr:col>31</xdr:col>
      <xdr:colOff>504825</xdr:colOff>
      <xdr:row>51</xdr:row>
      <xdr:rowOff>57151</xdr:rowOff>
    </xdr:to>
    <xdr:sp macro="" textlink="">
      <xdr:nvSpPr>
        <xdr:cNvPr id="47" name="TextBox 46">
          <a:extLst>
            <a:ext uri="{FF2B5EF4-FFF2-40B4-BE49-F238E27FC236}">
              <a16:creationId xmlns:a16="http://schemas.microsoft.com/office/drawing/2014/main" id="{00000000-0008-0000-0000-00002F000000}"/>
            </a:ext>
          </a:extLst>
        </xdr:cNvPr>
        <xdr:cNvSpPr txBox="1"/>
      </xdr:nvSpPr>
      <xdr:spPr>
        <a:xfrm>
          <a:off x="17145000" y="8401051"/>
          <a:ext cx="2009775"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lang="en-US" sz="1000" b="1" i="1" u="sng"/>
            <a:t>**</a:t>
          </a:r>
          <a:r>
            <a:rPr lang="en-US" sz="1000" b="1" i="1" u="sng" baseline="0"/>
            <a:t>Note </a:t>
          </a:r>
        </a:p>
        <a:p>
          <a:pPr algn="l"/>
          <a:r>
            <a:rPr lang="en-US" sz="1000" b="1" i="1" baseline="0"/>
            <a:t>This roundabout sketch does not include the secondary cardinal direction legs due to restrictions in the Excel software.  For complex roundabouts, a separate sketch is recommended by the designer.</a:t>
          </a:r>
          <a:endParaRPr lang="en-US" sz="1000" b="1" i="1"/>
        </a:p>
      </xdr:txBody>
    </xdr:sp>
    <xdr:clientData/>
  </xdr:twoCellAnchor>
  <xdr:twoCellAnchor>
    <xdr:from>
      <xdr:col>6</xdr:col>
      <xdr:colOff>647701</xdr:colOff>
      <xdr:row>44</xdr:row>
      <xdr:rowOff>0</xdr:rowOff>
    </xdr:from>
    <xdr:to>
      <xdr:col>7</xdr:col>
      <xdr:colOff>57151</xdr:colOff>
      <xdr:row>44</xdr:row>
      <xdr:rowOff>161925</xdr:rowOff>
    </xdr:to>
    <xdr:sp macro="" textlink="">
      <xdr:nvSpPr>
        <xdr:cNvPr id="45" name="TextBox 44">
          <a:extLst>
            <a:ext uri="{FF2B5EF4-FFF2-40B4-BE49-F238E27FC236}">
              <a16:creationId xmlns:a16="http://schemas.microsoft.com/office/drawing/2014/main" id="{00000000-0008-0000-0000-00002D000000}"/>
            </a:ext>
          </a:extLst>
        </xdr:cNvPr>
        <xdr:cNvSpPr txBox="1"/>
      </xdr:nvSpPr>
      <xdr:spPr>
        <a:xfrm>
          <a:off x="5305426" y="8286750"/>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sz="1100"/>
        </a:p>
      </xdr:txBody>
    </xdr:sp>
    <xdr:clientData/>
  </xdr:twoCellAnchor>
  <xdr:twoCellAnchor>
    <xdr:from>
      <xdr:col>9</xdr:col>
      <xdr:colOff>381001</xdr:colOff>
      <xdr:row>12</xdr:row>
      <xdr:rowOff>95250</xdr:rowOff>
    </xdr:from>
    <xdr:to>
      <xdr:col>9</xdr:col>
      <xdr:colOff>571501</xdr:colOff>
      <xdr:row>13</xdr:row>
      <xdr:rowOff>66675</xdr:rowOff>
    </xdr:to>
    <xdr:sp macro="" textlink="">
      <xdr:nvSpPr>
        <xdr:cNvPr id="49" name="TextBox 48">
          <a:extLst>
            <a:ext uri="{FF2B5EF4-FFF2-40B4-BE49-F238E27FC236}">
              <a16:creationId xmlns:a16="http://schemas.microsoft.com/office/drawing/2014/main" id="{00000000-0008-0000-0000-000031000000}"/>
            </a:ext>
          </a:extLst>
        </xdr:cNvPr>
        <xdr:cNvSpPr txBox="1"/>
      </xdr:nvSpPr>
      <xdr:spPr>
        <a:xfrm>
          <a:off x="7067551" y="2486025"/>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US" sz="1100"/>
        </a:p>
      </xdr:txBody>
    </xdr:sp>
    <xdr:clientData/>
  </xdr:twoCellAnchor>
  <xdr:twoCellAnchor>
    <xdr:from>
      <xdr:col>7</xdr:col>
      <xdr:colOff>57151</xdr:colOff>
      <xdr:row>12</xdr:row>
      <xdr:rowOff>176213</xdr:rowOff>
    </xdr:from>
    <xdr:to>
      <xdr:col>9</xdr:col>
      <xdr:colOff>381001</xdr:colOff>
      <xdr:row>44</xdr:row>
      <xdr:rowOff>80963</xdr:rowOff>
    </xdr:to>
    <xdr:cxnSp macro="">
      <xdr:nvCxnSpPr>
        <xdr:cNvPr id="51" name="Elbow Connector 50">
          <a:extLst>
            <a:ext uri="{FF2B5EF4-FFF2-40B4-BE49-F238E27FC236}">
              <a16:creationId xmlns:a16="http://schemas.microsoft.com/office/drawing/2014/main" id="{00000000-0008-0000-0000-000033000000}"/>
            </a:ext>
          </a:extLst>
        </xdr:cNvPr>
        <xdr:cNvCxnSpPr>
          <a:stCxn id="45" idx="3"/>
          <a:endCxn id="49" idx="1"/>
        </xdr:cNvCxnSpPr>
      </xdr:nvCxnSpPr>
      <xdr:spPr>
        <a:xfrm flipV="1">
          <a:off x="5495926" y="2566988"/>
          <a:ext cx="1571625" cy="5800725"/>
        </a:xfrm>
        <a:prstGeom prst="bentConnector3">
          <a:avLst>
            <a:gd name="adj1" fmla="val 79091"/>
          </a:avLst>
        </a:prstGeom>
        <a:ln>
          <a:solidFill>
            <a:srgbClr val="FF0000"/>
          </a:solidFill>
          <a:prstDash val="dash"/>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6</xdr:col>
      <xdr:colOff>466725</xdr:colOff>
      <xdr:row>42</xdr:row>
      <xdr:rowOff>152401</xdr:rowOff>
    </xdr:from>
    <xdr:to>
      <xdr:col>8</xdr:col>
      <xdr:colOff>571500</xdr:colOff>
      <xdr:row>44</xdr:row>
      <xdr:rowOff>38100</xdr:rowOff>
    </xdr:to>
    <xdr:sp macro="" textlink="">
      <xdr:nvSpPr>
        <xdr:cNvPr id="56" name="TextBox 55">
          <a:extLst>
            <a:ext uri="{FF2B5EF4-FFF2-40B4-BE49-F238E27FC236}">
              <a16:creationId xmlns:a16="http://schemas.microsoft.com/office/drawing/2014/main" id="{00000000-0008-0000-0000-000038000000}"/>
            </a:ext>
          </a:extLst>
        </xdr:cNvPr>
        <xdr:cNvSpPr txBox="1"/>
      </xdr:nvSpPr>
      <xdr:spPr>
        <a:xfrm>
          <a:off x="5124450" y="8058151"/>
          <a:ext cx="1524000" cy="266699"/>
        </a:xfrm>
        <a:prstGeom prst="rect">
          <a:avLst/>
        </a:prstGeom>
        <a:noFill/>
        <a:ln w="9525" cmpd="sng">
          <a:no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1">
              <a:solidFill>
                <a:srgbClr val="FF0000"/>
              </a:solidFill>
            </a:rPr>
            <a:t>Go up to next section…</a:t>
          </a:r>
        </a:p>
      </xdr:txBody>
    </xdr:sp>
    <xdr:clientData/>
  </xdr:twoCellAnchor>
  <xdr:twoCellAnchor editAs="oneCell">
    <xdr:from>
      <xdr:col>0</xdr:col>
      <xdr:colOff>1</xdr:colOff>
      <xdr:row>0</xdr:row>
      <xdr:rowOff>38100</xdr:rowOff>
    </xdr:from>
    <xdr:to>
      <xdr:col>2</xdr:col>
      <xdr:colOff>209551</xdr:colOff>
      <xdr:row>2</xdr:row>
      <xdr:rowOff>132372</xdr:rowOff>
    </xdr:to>
    <xdr:pic>
      <xdr:nvPicPr>
        <xdr:cNvPr id="35" name="Picture 34"/>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100000"/>
                  </a14:imgEffect>
                </a14:imgLayer>
              </a14:imgProps>
            </a:ext>
            <a:ext uri="{28A0092B-C50C-407E-A947-70E740481C1C}">
              <a14:useLocalDpi xmlns:a14="http://schemas.microsoft.com/office/drawing/2010/main" val="0"/>
            </a:ext>
          </a:extLst>
        </a:blip>
        <a:stretch>
          <a:fillRect/>
        </a:stretch>
      </xdr:blipFill>
      <xdr:spPr>
        <a:xfrm>
          <a:off x="1" y="38100"/>
          <a:ext cx="1676400" cy="580047"/>
        </a:xfrm>
        <a:prstGeom prst="rect">
          <a:avLst/>
        </a:prstGeom>
      </xdr:spPr>
    </xdr:pic>
    <xdr:clientData/>
  </xdr:twoCellAnchor>
  <xdr:twoCellAnchor editAs="oneCell">
    <xdr:from>
      <xdr:col>9</xdr:col>
      <xdr:colOff>66676</xdr:colOff>
      <xdr:row>0</xdr:row>
      <xdr:rowOff>38100</xdr:rowOff>
    </xdr:from>
    <xdr:to>
      <xdr:col>11</xdr:col>
      <xdr:colOff>523876</xdr:colOff>
      <xdr:row>2</xdr:row>
      <xdr:rowOff>132372</xdr:rowOff>
    </xdr:to>
    <xdr:pic>
      <xdr:nvPicPr>
        <xdr:cNvPr id="38" name="Picture 37"/>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100000"/>
                  </a14:imgEffect>
                </a14:imgLayer>
              </a14:imgProps>
            </a:ext>
            <a:ext uri="{28A0092B-C50C-407E-A947-70E740481C1C}">
              <a14:useLocalDpi xmlns:a14="http://schemas.microsoft.com/office/drawing/2010/main" val="0"/>
            </a:ext>
          </a:extLst>
        </a:blip>
        <a:stretch>
          <a:fillRect/>
        </a:stretch>
      </xdr:blipFill>
      <xdr:spPr>
        <a:xfrm>
          <a:off x="6810376" y="38100"/>
          <a:ext cx="1676400" cy="580047"/>
        </a:xfrm>
        <a:prstGeom prst="rect">
          <a:avLst/>
        </a:prstGeom>
      </xdr:spPr>
    </xdr:pic>
    <xdr:clientData/>
  </xdr:twoCellAnchor>
  <xdr:twoCellAnchor editAs="oneCell">
    <xdr:from>
      <xdr:col>19</xdr:col>
      <xdr:colOff>19051</xdr:colOff>
      <xdr:row>0</xdr:row>
      <xdr:rowOff>38100</xdr:rowOff>
    </xdr:from>
    <xdr:to>
      <xdr:col>21</xdr:col>
      <xdr:colOff>476251</xdr:colOff>
      <xdr:row>2</xdr:row>
      <xdr:rowOff>132372</xdr:rowOff>
    </xdr:to>
    <xdr:pic>
      <xdr:nvPicPr>
        <xdr:cNvPr id="39" name="Picture 38"/>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100000"/>
                  </a14:imgEffect>
                </a14:imgLayer>
              </a14:imgProps>
            </a:ext>
            <a:ext uri="{28A0092B-C50C-407E-A947-70E740481C1C}">
              <a14:useLocalDpi xmlns:a14="http://schemas.microsoft.com/office/drawing/2010/main" val="0"/>
            </a:ext>
          </a:extLst>
        </a:blip>
        <a:stretch>
          <a:fillRect/>
        </a:stretch>
      </xdr:blipFill>
      <xdr:spPr>
        <a:xfrm>
          <a:off x="12858751" y="38100"/>
          <a:ext cx="1676400" cy="5800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103</xdr:row>
      <xdr:rowOff>173935</xdr:rowOff>
    </xdr:from>
    <xdr:to>
      <xdr:col>9</xdr:col>
      <xdr:colOff>596347</xdr:colOff>
      <xdr:row>128</xdr:row>
      <xdr:rowOff>157370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0" y="19575118"/>
          <a:ext cx="6129130" cy="46216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1" u="sng">
              <a:solidFill>
                <a:schemeClr val="dk1"/>
              </a:solidFill>
              <a:latin typeface="+mn-lt"/>
              <a:ea typeface="+mn-ea"/>
              <a:cs typeface="+mn-cs"/>
            </a:rPr>
            <a:t>References:</a:t>
          </a:r>
        </a:p>
        <a:p>
          <a:r>
            <a:rPr lang="en-US" sz="1100">
              <a:solidFill>
                <a:schemeClr val="dk1"/>
              </a:solidFill>
              <a:latin typeface="+mn-lt"/>
              <a:ea typeface="+mn-ea"/>
              <a:cs typeface="+mn-cs"/>
            </a:rPr>
            <a:t>TRB (2016).</a:t>
          </a:r>
          <a:r>
            <a:rPr lang="en-US" sz="1100" baseline="0">
              <a:solidFill>
                <a:schemeClr val="dk1"/>
              </a:solidFill>
              <a:latin typeface="+mn-lt"/>
              <a:ea typeface="+mn-ea"/>
              <a:cs typeface="+mn-cs"/>
            </a:rPr>
            <a:t> </a:t>
          </a:r>
          <a:r>
            <a:rPr lang="en-US" sz="1100" b="1" i="1" baseline="0">
              <a:solidFill>
                <a:schemeClr val="dk1"/>
              </a:solidFill>
              <a:latin typeface="+mn-lt"/>
              <a:ea typeface="+mn-ea"/>
              <a:cs typeface="+mn-cs"/>
            </a:rPr>
            <a:t>Highway Capacity Manual: 6th Edition. A Guide for Multimodal Mobility Analysis.</a:t>
          </a:r>
          <a:r>
            <a:rPr lang="en-US" sz="1100" b="0" i="0" baseline="0">
              <a:solidFill>
                <a:schemeClr val="dk1"/>
              </a:solidFill>
              <a:latin typeface="+mn-lt"/>
              <a:ea typeface="+mn-ea"/>
              <a:cs typeface="+mn-cs"/>
            </a:rPr>
            <a:t> Transportation Research Board, National Research Council, Washington, D.C., U.S.A. ("HCM6") </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a:p>
          <a:r>
            <a:rPr lang="en-US" sz="1100">
              <a:solidFill>
                <a:schemeClr val="dk1"/>
              </a:solidFill>
              <a:latin typeface="+mn-lt"/>
              <a:ea typeface="+mn-ea"/>
              <a:cs typeface="+mn-cs"/>
            </a:rPr>
            <a:t>TRB (2010). </a:t>
          </a:r>
          <a:r>
            <a:rPr lang="en-US" sz="1100" b="1" i="1">
              <a:solidFill>
                <a:schemeClr val="dk1"/>
              </a:solidFill>
              <a:latin typeface="+mn-lt"/>
              <a:ea typeface="+mn-ea"/>
              <a:cs typeface="+mn-cs"/>
            </a:rPr>
            <a:t>HCM</a:t>
          </a:r>
          <a:r>
            <a:rPr lang="en-US" sz="1100" b="1" i="1" baseline="0">
              <a:solidFill>
                <a:schemeClr val="dk1"/>
              </a:solidFill>
              <a:latin typeface="+mn-lt"/>
              <a:ea typeface="+mn-ea"/>
              <a:cs typeface="+mn-cs"/>
            </a:rPr>
            <a:t> 2010: </a:t>
          </a:r>
          <a:r>
            <a:rPr lang="en-US" sz="1100" b="1" i="1">
              <a:solidFill>
                <a:schemeClr val="dk1"/>
              </a:solidFill>
              <a:latin typeface="+mn-lt"/>
              <a:ea typeface="+mn-ea"/>
              <a:cs typeface="+mn-cs"/>
            </a:rPr>
            <a:t>Highway Capacity Manual</a:t>
          </a:r>
          <a:r>
            <a:rPr lang="en-US" sz="1100">
              <a:solidFill>
                <a:schemeClr val="dk1"/>
              </a:solidFill>
              <a:latin typeface="+mn-lt"/>
              <a:ea typeface="+mn-ea"/>
              <a:cs typeface="+mn-cs"/>
            </a:rPr>
            <a:t>. Transportation Research Board, National Research Council, Washington, D.C., U.S.A. ("HCM2010").</a:t>
          </a:r>
        </a:p>
        <a:p>
          <a:endParaRPr lang="en-US"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TRB (2000). </a:t>
          </a:r>
          <a:r>
            <a:rPr lang="en-US" sz="1100" b="1" i="1">
              <a:solidFill>
                <a:schemeClr val="dk1"/>
              </a:solidFill>
              <a:effectLst/>
              <a:latin typeface="+mn-lt"/>
              <a:ea typeface="+mn-ea"/>
              <a:cs typeface="+mn-cs"/>
            </a:rPr>
            <a:t>Highway Capacity Manual</a:t>
          </a:r>
          <a:r>
            <a:rPr lang="en-US" sz="1100">
              <a:solidFill>
                <a:schemeClr val="dk1"/>
              </a:solidFill>
              <a:effectLst/>
              <a:latin typeface="+mn-lt"/>
              <a:ea typeface="+mn-ea"/>
              <a:cs typeface="+mn-cs"/>
            </a:rPr>
            <a:t>. Transportation Research Board, National Research Council, Washington, D.C., U.S.A. ("HCM2000").</a:t>
          </a:r>
          <a:endParaRPr lang="en-US">
            <a:effectLst/>
          </a:endParaRPr>
        </a:p>
        <a:p>
          <a:r>
            <a:rPr lang="en-US" sz="1100">
              <a:solidFill>
                <a:schemeClr val="dk1"/>
              </a:solidFill>
              <a:latin typeface="+mn-lt"/>
              <a:ea typeface="+mn-ea"/>
              <a:cs typeface="+mn-cs"/>
            </a:rPr>
            <a:t> </a:t>
          </a:r>
        </a:p>
        <a:p>
          <a:r>
            <a:rPr lang="en-US" sz="1100">
              <a:solidFill>
                <a:schemeClr val="dk1"/>
              </a:solidFill>
              <a:latin typeface="+mn-lt"/>
              <a:ea typeface="+mn-ea"/>
              <a:cs typeface="+mn-cs"/>
            </a:rPr>
            <a:t>Robinson, B.W., et al., </a:t>
          </a:r>
          <a:r>
            <a:rPr lang="en-US" sz="1100" b="1" i="1">
              <a:solidFill>
                <a:schemeClr val="dk1"/>
              </a:solidFill>
              <a:latin typeface="+mn-lt"/>
              <a:ea typeface="+mn-ea"/>
              <a:cs typeface="+mn-cs"/>
            </a:rPr>
            <a:t>Roundabouts: An Informational Guide</a:t>
          </a:r>
          <a:r>
            <a:rPr lang="en-US" sz="1100">
              <a:solidFill>
                <a:schemeClr val="dk1"/>
              </a:solidFill>
              <a:latin typeface="+mn-lt"/>
              <a:ea typeface="+mn-ea"/>
              <a:cs typeface="+mn-cs"/>
            </a:rPr>
            <a:t>, Publication No. FHWA-RD-00-067, Federal Highway Administration, Washington, DC, June 2000.</a:t>
          </a:r>
        </a:p>
        <a:p>
          <a:endParaRPr lang="en-US" sz="1100">
            <a:solidFill>
              <a:schemeClr val="dk1"/>
            </a:solidFill>
            <a:latin typeface="+mn-lt"/>
            <a:ea typeface="+mn-ea"/>
            <a:cs typeface="+mn-cs"/>
          </a:endParaRPr>
        </a:p>
        <a:p>
          <a:r>
            <a:rPr lang="en-US" sz="1100">
              <a:solidFill>
                <a:schemeClr val="dk1"/>
              </a:solidFill>
              <a:latin typeface="+mn-lt"/>
              <a:ea typeface="+mn-ea"/>
              <a:cs typeface="+mn-cs"/>
            </a:rPr>
            <a:t>Rodegerdts, L., Bansen, J., Tiesler, C., Knudsen,</a:t>
          </a:r>
          <a:r>
            <a:rPr lang="en-US" sz="1100" baseline="0">
              <a:solidFill>
                <a:schemeClr val="dk1"/>
              </a:solidFill>
              <a:latin typeface="+mn-lt"/>
              <a:ea typeface="+mn-ea"/>
              <a:cs typeface="+mn-cs"/>
            </a:rPr>
            <a:t> J., Myers, E., Johnson, M., Moule, M., Persaud, B., Lyon, C., Hallmark, S., Isebrands, H., Crown, R.B., Guichet, B., O'Brien, A., </a:t>
          </a:r>
          <a:r>
            <a:rPr lang="en-US" sz="1100" b="1" i="1" baseline="0">
              <a:solidFill>
                <a:schemeClr val="dk1"/>
              </a:solidFill>
              <a:latin typeface="+mn-lt"/>
              <a:ea typeface="+mn-ea"/>
              <a:cs typeface="+mn-cs"/>
            </a:rPr>
            <a:t>NCHRP Report 672, Roundabouts: An Informational Guide,  Second Edition</a:t>
          </a:r>
          <a:r>
            <a:rPr lang="en-US" sz="1100" b="0" baseline="0">
              <a:solidFill>
                <a:schemeClr val="dk1"/>
              </a:solidFill>
              <a:latin typeface="+mn-lt"/>
              <a:ea typeface="+mn-ea"/>
              <a:cs typeface="+mn-cs"/>
            </a:rPr>
            <a:t>. Washington, D.C., Transportation Reserach Board, (2010)</a:t>
          </a:r>
          <a:endParaRPr lang="en-US" sz="1100" b="1">
            <a:solidFill>
              <a:schemeClr val="dk1"/>
            </a:solidFill>
            <a:latin typeface="+mn-lt"/>
            <a:ea typeface="+mn-ea"/>
            <a:cs typeface="+mn-cs"/>
          </a:endParaRPr>
        </a:p>
        <a:p>
          <a:endParaRPr lang="en-US" sz="1100">
            <a:solidFill>
              <a:schemeClr val="dk1"/>
            </a:solidFill>
            <a:latin typeface="+mn-lt"/>
            <a:ea typeface="+mn-ea"/>
            <a:cs typeface="+mn-cs"/>
          </a:endParaRPr>
        </a:p>
        <a:p>
          <a:r>
            <a:rPr lang="en-US" sz="1100">
              <a:solidFill>
                <a:schemeClr val="dk1"/>
              </a:solidFill>
              <a:latin typeface="+mn-lt"/>
              <a:ea typeface="+mn-ea"/>
              <a:cs typeface="+mn-cs"/>
            </a:rPr>
            <a:t>Rodegerdts, L. A., Blogg, M., Wemple, E., Myers, E., Kyte, M., Dixon, M., List, G., Flannery, A., Troutbeck, R., Brilon, W., Wu, N., Persaud, B., Lyon, C., Harkey, D., and Carter, E. C., "Roundabouts in the United States." </a:t>
          </a:r>
          <a:r>
            <a:rPr lang="en-US" sz="1100" b="1" i="1">
              <a:solidFill>
                <a:schemeClr val="dk1"/>
              </a:solidFill>
              <a:latin typeface="+mn-lt"/>
              <a:ea typeface="+mn-ea"/>
              <a:cs typeface="+mn-cs"/>
            </a:rPr>
            <a:t>NCHRP Report 572</a:t>
          </a:r>
          <a:r>
            <a:rPr lang="en-US" sz="1100">
              <a:solidFill>
                <a:schemeClr val="dk1"/>
              </a:solidFill>
              <a:latin typeface="+mn-lt"/>
              <a:ea typeface="+mn-ea"/>
              <a:cs typeface="+mn-cs"/>
            </a:rPr>
            <a:t>, Washington, D.C., Transportation Research Board of the National Academies, (2007)</a:t>
          </a:r>
        </a:p>
        <a:p>
          <a:endParaRPr lang="en-US" sz="1100">
            <a:solidFill>
              <a:schemeClr val="dk1"/>
            </a:solidFill>
            <a:latin typeface="+mn-lt"/>
            <a:ea typeface="+mn-ea"/>
            <a:cs typeface="+mn-cs"/>
          </a:endParaRPr>
        </a:p>
        <a:p>
          <a:r>
            <a:rPr lang="en-US" sz="1100">
              <a:solidFill>
                <a:schemeClr val="dk1"/>
              </a:solidFill>
              <a:latin typeface="+mn-lt"/>
              <a:ea typeface="+mn-ea"/>
              <a:cs typeface="+mn-cs"/>
            </a:rPr>
            <a:t>Rodegerdts, L. A.</a:t>
          </a:r>
          <a:r>
            <a:rPr lang="en-US" sz="1100" baseline="0">
              <a:solidFill>
                <a:schemeClr val="dk1"/>
              </a:solidFill>
              <a:latin typeface="+mn-lt"/>
              <a:ea typeface="+mn-ea"/>
              <a:cs typeface="+mn-cs"/>
            </a:rPr>
            <a:t> </a:t>
          </a:r>
          <a:r>
            <a:rPr lang="en-US" sz="1100" b="0" baseline="0">
              <a:solidFill>
                <a:schemeClr val="dk1"/>
              </a:solidFill>
              <a:latin typeface="+mn-lt"/>
              <a:ea typeface="+mn-ea"/>
              <a:cs typeface="+mn-cs"/>
            </a:rPr>
            <a:t>"</a:t>
          </a:r>
          <a:r>
            <a:rPr lang="en-US" sz="1100" b="1" baseline="0">
              <a:solidFill>
                <a:schemeClr val="dk1"/>
              </a:solidFill>
              <a:latin typeface="+mn-lt"/>
              <a:ea typeface="+mn-ea"/>
              <a:cs typeface="+mn-cs"/>
            </a:rPr>
            <a:t>Reassessment of Roundabout Capacity Models for the Highway Capacity Manual</a:t>
          </a:r>
          <a:r>
            <a:rPr lang="en-US" sz="1100" baseline="0">
              <a:solidFill>
                <a:schemeClr val="dk1"/>
              </a:solidFill>
              <a:latin typeface="+mn-lt"/>
              <a:ea typeface="+mn-ea"/>
              <a:cs typeface="+mn-cs"/>
            </a:rPr>
            <a:t>." 4th International Conference on Roundabouts, Seattle, (2014). &lt;http://teachamerica.com/RAB14/RAB1406CRodegerdts/index.htm&gt;</a:t>
          </a:r>
          <a:endParaRPr lang="en-US" sz="1100">
            <a:solidFill>
              <a:schemeClr val="dk1"/>
            </a:solidFill>
            <a:latin typeface="+mn-lt"/>
            <a:ea typeface="+mn-ea"/>
            <a:cs typeface="+mn-cs"/>
          </a:endParaRPr>
        </a:p>
        <a:p>
          <a:r>
            <a:rPr lang="en-US" sz="1100">
              <a:solidFill>
                <a:schemeClr val="dk1"/>
              </a:solidFill>
              <a:latin typeface="+mn-lt"/>
              <a:ea typeface="+mn-ea"/>
              <a:cs typeface="+mn-cs"/>
            </a:rPr>
            <a:t> </a:t>
          </a:r>
        </a:p>
        <a:p>
          <a:r>
            <a:rPr lang="en-US" sz="1100">
              <a:solidFill>
                <a:schemeClr val="dk1"/>
              </a:solidFill>
              <a:latin typeface="+mn-lt"/>
              <a:ea typeface="+mn-ea"/>
              <a:cs typeface="+mn-cs"/>
            </a:rPr>
            <a:t>**This workbook was adapted from ODOT’s Roundabout Calculator.</a:t>
          </a:r>
        </a:p>
        <a:p>
          <a:endParaRPr lang="en-US" sz="1100"/>
        </a:p>
      </xdr:txBody>
    </xdr:sp>
    <xdr:clientData/>
  </xdr:twoCellAnchor>
  <xdr:twoCellAnchor>
    <xdr:from>
      <xdr:col>0</xdr:col>
      <xdr:colOff>0</xdr:colOff>
      <xdr:row>0</xdr:row>
      <xdr:rowOff>320123</xdr:rowOff>
    </xdr:from>
    <xdr:to>
      <xdr:col>9</xdr:col>
      <xdr:colOff>581025</xdr:colOff>
      <xdr:row>6</xdr:row>
      <xdr:rowOff>27333</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0" y="320123"/>
          <a:ext cx="6014416"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workbook contains an analysis spreadsheet for a mini,</a:t>
          </a:r>
          <a:r>
            <a:rPr lang="en-US" sz="1100" baseline="0"/>
            <a:t> </a:t>
          </a:r>
          <a:r>
            <a:rPr lang="en-US" sz="1100"/>
            <a:t>single lane and a multi lane roundabout.  It  also has an option to analyze a bypass lane if it is included as a design option.  The worksheets are protected to prevent accidental changing of formulas except in the General/Site Information, Volumes, and Volume Characteristics sections.  </a:t>
          </a:r>
        </a:p>
        <a:p>
          <a:r>
            <a:rPr lang="en-US" sz="1100" b="1"/>
            <a:t>Insert values into </a:t>
          </a:r>
          <a:r>
            <a:rPr lang="en-US" sz="1100" b="1">
              <a:solidFill>
                <a:srgbClr val="0070C0"/>
              </a:solidFill>
            </a:rPr>
            <a:t>Blue</a:t>
          </a:r>
          <a:r>
            <a:rPr lang="en-US" sz="1100" b="1"/>
            <a:t> Boxes to avoid accidental changes in the spreadsheet. </a:t>
          </a:r>
        </a:p>
      </xdr:txBody>
    </xdr:sp>
    <xdr:clientData/>
  </xdr:twoCellAnchor>
  <xdr:twoCellAnchor>
    <xdr:from>
      <xdr:col>0</xdr:col>
      <xdr:colOff>1241</xdr:colOff>
      <xdr:row>9</xdr:row>
      <xdr:rowOff>23605</xdr:rowOff>
    </xdr:from>
    <xdr:to>
      <xdr:col>9</xdr:col>
      <xdr:colOff>582266</xdr:colOff>
      <xdr:row>16</xdr:row>
      <xdr:rowOff>14080</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241" y="2019714"/>
          <a:ext cx="6014416" cy="1323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Analyst name, work organization, today's date, project name/PI#, intersecting street names, time period (i.e. 4:00 - 5:00 PM), analysis year (existing, 2030 Build, etc), and county/district should be entered. </a:t>
          </a:r>
        </a:p>
        <a:p>
          <a:endParaRPr lang="en-US" sz="1100" b="0"/>
        </a:p>
        <a:p>
          <a:r>
            <a:rPr lang="en-US" sz="1100" b="0"/>
            <a:t>The roundabout calculator can support up to eight legs for maximum geometric flexibility  (leg placement).  Highlighting the legs used on a printed version of the provided diagram can help when routing  volumes.</a:t>
          </a:r>
        </a:p>
      </xdr:txBody>
    </xdr:sp>
    <xdr:clientData/>
  </xdr:twoCellAnchor>
  <xdr:twoCellAnchor>
    <xdr:from>
      <xdr:col>0</xdr:col>
      <xdr:colOff>0</xdr:colOff>
      <xdr:row>18</xdr:row>
      <xdr:rowOff>17806</xdr:rowOff>
    </xdr:from>
    <xdr:to>
      <xdr:col>10</xdr:col>
      <xdr:colOff>0</xdr:colOff>
      <xdr:row>25</xdr:row>
      <xdr:rowOff>115955</xdr:rowOff>
    </xdr:to>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0" y="3728415"/>
          <a:ext cx="6046304" cy="1431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solidFill>
                <a:sysClr val="windowText" lastClr="000000"/>
              </a:solidFill>
            </a:rPr>
            <a:t>Volumes are entered in columns that correspond to the existing or proposed roundabout legs.  Volumes are entered as origin destination</a:t>
          </a:r>
          <a:r>
            <a:rPr lang="en-US" sz="1100" b="0" baseline="0">
              <a:solidFill>
                <a:sysClr val="windowText" lastClr="000000"/>
              </a:solidFill>
            </a:rPr>
            <a:t> pairs with the column heading denoting the origin and row heading denoting the destination. </a:t>
          </a:r>
          <a:r>
            <a:rPr lang="en-US" sz="1100" b="0">
              <a:solidFill>
                <a:sysClr val="windowText" lastClr="000000"/>
              </a:solidFill>
            </a:rPr>
            <a:t>For example, volumes  arriving on the north leg and making a left turn onto the east leg are coded in the cell intersection  of the N column and the E row. This format makes it possible if leg placement is not standard or is more than four legs where there might be more than one discrete left or right turn. This format also allows for u-turns</a:t>
          </a:r>
          <a:r>
            <a:rPr lang="en-US" sz="1100" b="0" baseline="0">
              <a:solidFill>
                <a:sysClr val="windowText" lastClr="000000"/>
              </a:solidFill>
            </a:rPr>
            <a:t> to be coded into the model. However the engineer shoud take care when entering the OD pairs not to accidentally code a left turn, through  movement, or right turn as a u-turn. Entering a u-turn value will cause the background of that value to change to yellow. This helps the user recognize when a u-turn value has been entered.</a:t>
          </a:r>
        </a:p>
      </xdr:txBody>
    </xdr:sp>
    <xdr:clientData/>
  </xdr:twoCellAnchor>
  <xdr:twoCellAnchor>
    <xdr:from>
      <xdr:col>0</xdr:col>
      <xdr:colOff>0</xdr:colOff>
      <xdr:row>29</xdr:row>
      <xdr:rowOff>2484</xdr:rowOff>
    </xdr:from>
    <xdr:to>
      <xdr:col>9</xdr:col>
      <xdr:colOff>581025</xdr:colOff>
      <xdr:row>40</xdr:row>
      <xdr:rowOff>8282</xdr:rowOff>
    </xdr:to>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0" y="5808593"/>
          <a:ext cx="6014416" cy="2101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Changing the peak hour factor (PHF) and the percentage of trucks, SU/buses, or bicycles will cause the background of these values to change to yellow</a:t>
          </a:r>
          <a:r>
            <a:rPr lang="en-US" sz="1100" b="0" baseline="0"/>
            <a:t> and dark blue respectively</a:t>
          </a:r>
          <a:r>
            <a:rPr lang="en-US" sz="1100" b="0"/>
            <a:t>. This will allow the user and reviewer to  keep track of changes to the default values. </a:t>
          </a:r>
        </a:p>
        <a:p>
          <a:endParaRPr lang="en-US" sz="1100" b="0"/>
        </a:p>
        <a:p>
          <a:r>
            <a:rPr lang="en-US" sz="1100" b="0"/>
            <a:t>A PHF derived from current counts should be used to replace the default PHF.  The truck equivalency factor is normally set at 2.0. However, this value can change based on facility type (i.e. two-lane highway versus multilane highway) or if the approach is on a grade.   Current counts should be used to determine the percent of trucks and bicycles on an approach.  To change the equivalency factors, update the Pink Boxes in the Equivalency Factor table.</a:t>
          </a:r>
        </a:p>
        <a:p>
          <a:endParaRPr lang="en-US" sz="1100" b="0"/>
        </a:p>
        <a:p>
          <a:r>
            <a:rPr lang="en-US" sz="1100" b="0"/>
            <a:t>The heavy vehicle factor will be automatically computed and will be combined with the PHF to determine flow rates.</a:t>
          </a:r>
        </a:p>
      </xdr:txBody>
    </xdr:sp>
    <xdr:clientData/>
  </xdr:twoCellAnchor>
  <xdr:twoCellAnchor>
    <xdr:from>
      <xdr:col>0</xdr:col>
      <xdr:colOff>0</xdr:colOff>
      <xdr:row>42</xdr:row>
      <xdr:rowOff>40171</xdr:rowOff>
    </xdr:from>
    <xdr:to>
      <xdr:col>9</xdr:col>
      <xdr:colOff>571500</xdr:colOff>
      <xdr:row>45</xdr:row>
      <xdr:rowOff>2071</xdr:rowOff>
    </xdr:to>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0" y="8322780"/>
          <a:ext cx="6004891"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This section automatically computes the entry flows for each leg and the corresponding conflicting flow.  No input is needed.</a:t>
          </a:r>
        </a:p>
      </xdr:txBody>
    </xdr:sp>
    <xdr:clientData/>
  </xdr:twoCellAnchor>
  <xdr:twoCellAnchor>
    <xdr:from>
      <xdr:col>0</xdr:col>
      <xdr:colOff>0</xdr:colOff>
      <xdr:row>47</xdr:row>
      <xdr:rowOff>1244</xdr:rowOff>
    </xdr:from>
    <xdr:to>
      <xdr:col>9</xdr:col>
      <xdr:colOff>523875</xdr:colOff>
      <xdr:row>54</xdr:row>
      <xdr:rowOff>16566</xdr:rowOff>
    </xdr:to>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0" y="9236353"/>
          <a:ext cx="5957266" cy="134882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Results will only be shown for columns  where entry</a:t>
          </a:r>
          <a:r>
            <a:rPr lang="en-US" sz="1100" b="0" baseline="0"/>
            <a:t> volumes have been entered</a:t>
          </a:r>
          <a:r>
            <a:rPr lang="en-US" sz="1100" b="0"/>
            <a:t>. This section computes the entry capacity based on the HCM  formula and reports the conflicting flow, the entry leg volume-to-capacity ratio, the approach control delay, the approach LOS, and the average and 95th percentile queue lengths. The average and 95th percentile queue is based the HCM formula for  calculating queue lengths at unsignalized intersections.  The HCM</a:t>
          </a:r>
          <a:r>
            <a:rPr lang="en-US" sz="1100" b="0" baseline="0"/>
            <a:t> 2010 and 6th Edition capacity models are based on an analytical method based on gap acceptance behavior on roundabouts in the United States.  </a:t>
          </a:r>
          <a:endParaRPr lang="en-US" sz="1100" b="0"/>
        </a:p>
      </xdr:txBody>
    </xdr:sp>
    <xdr:clientData/>
  </xdr:twoCellAnchor>
  <xdr:twoCellAnchor>
    <xdr:from>
      <xdr:col>0</xdr:col>
      <xdr:colOff>0</xdr:colOff>
      <xdr:row>65</xdr:row>
      <xdr:rowOff>182218</xdr:rowOff>
    </xdr:from>
    <xdr:to>
      <xdr:col>9</xdr:col>
      <xdr:colOff>561975</xdr:colOff>
      <xdr:row>70</xdr:row>
      <xdr:rowOff>173936</xdr:rowOff>
    </xdr:to>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0" y="12846327"/>
          <a:ext cx="5995366" cy="9442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This worksheet calculates values for single</a:t>
          </a:r>
          <a:r>
            <a:rPr lang="en-US" sz="1100" b="0" baseline="0"/>
            <a:t> lane roundabouts. There may be right turn bypasses on the approaches but only one circulating lane in the circulatory roadway. If you have a hybrid roundabout (1 lane circulatory roadway in some areas and 2 lane circulatory roadway in other areas) it is recommended to use the multilane tab as this tab will allow inputs for any entry/circulating combinations for 1 lane 2 lane hybrid roundabouts. </a:t>
          </a:r>
          <a:endParaRPr lang="en-US" sz="1100" b="0"/>
        </a:p>
      </xdr:txBody>
    </xdr:sp>
    <xdr:clientData/>
  </xdr:twoCellAnchor>
  <xdr:twoCellAnchor>
    <xdr:from>
      <xdr:col>0</xdr:col>
      <xdr:colOff>0</xdr:colOff>
      <xdr:row>75</xdr:row>
      <xdr:rowOff>22365</xdr:rowOff>
    </xdr:from>
    <xdr:to>
      <xdr:col>9</xdr:col>
      <xdr:colOff>600075</xdr:colOff>
      <xdr:row>78</xdr:row>
      <xdr:rowOff>41415</xdr:rowOff>
    </xdr:to>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0" y="14591474"/>
          <a:ext cx="6033466" cy="590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This section supports up to two entry lanes with any logical movement configuration that can now be entered</a:t>
          </a:r>
          <a:r>
            <a:rPr lang="en-US" sz="1100" b="0" baseline="0"/>
            <a:t> in the box that says "SELECT."</a:t>
          </a:r>
          <a:r>
            <a:rPr lang="en-US" sz="1100" b="0"/>
            <a:t> Use Lane 1  (i.e. N1) for the </a:t>
          </a:r>
          <a:r>
            <a:rPr lang="en-US" sz="1100" b="1"/>
            <a:t>inside approach lane </a:t>
          </a:r>
          <a:r>
            <a:rPr lang="en-US" sz="1100" b="0"/>
            <a:t>and Lane 2 (i.e. N2) for the </a:t>
          </a:r>
          <a:r>
            <a:rPr lang="en-US" sz="1100" b="1"/>
            <a:t>outside approach (curb) lane</a:t>
          </a:r>
          <a:r>
            <a:rPr lang="en-US" sz="1100" b="0"/>
            <a:t>.   If a leg only has a single lane, choose either lane but be consistent.</a:t>
          </a:r>
        </a:p>
      </xdr:txBody>
    </xdr:sp>
    <xdr:clientData/>
  </xdr:twoCellAnchor>
  <xdr:twoCellAnchor>
    <xdr:from>
      <xdr:col>0</xdr:col>
      <xdr:colOff>0</xdr:colOff>
      <xdr:row>95</xdr:row>
      <xdr:rowOff>33131</xdr:rowOff>
    </xdr:from>
    <xdr:to>
      <xdr:col>9</xdr:col>
      <xdr:colOff>571499</xdr:colOff>
      <xdr:row>103</xdr:row>
      <xdr:rowOff>182219</xdr:rowOff>
    </xdr:to>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0" y="18221740"/>
          <a:ext cx="6004890" cy="1673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If a bypass</a:t>
          </a:r>
          <a:r>
            <a:rPr lang="en-US" sz="1100" b="0" baseline="0"/>
            <a:t> lane is included in the roundabout configuration, use the following method:</a:t>
          </a:r>
        </a:p>
        <a:p>
          <a:r>
            <a:rPr lang="en-US" sz="1100" b="0"/>
            <a:t>Any bypass lane volume will need to be subtracted out of the appropriate right turn volume. </a:t>
          </a:r>
          <a:r>
            <a:rPr lang="en-US" sz="1100" b="0" baseline="0"/>
            <a:t> Insert this subtracted volume into the appropriate space on the bypass analysis chart.  This value becomes the bypass entry flow and the conflicting flow is generated from the exit volumes from the roundabout on the exit leg.  T</a:t>
          </a:r>
          <a:r>
            <a:rPr lang="en-US" sz="1100" b="0"/>
            <a:t>he capacity</a:t>
          </a:r>
          <a:r>
            <a:rPr lang="en-US" sz="1100" b="0" baseline="0"/>
            <a:t> generated is based on the </a:t>
          </a:r>
          <a:r>
            <a:rPr lang="en-US" sz="1100" b="0"/>
            <a:t>bypass lane flow yielding to the exiting flow from the roundabout.  The multi-lane</a:t>
          </a:r>
          <a:r>
            <a:rPr lang="en-US" sz="1100" b="0" baseline="0"/>
            <a:t> bypass lane uses three methods for determining the conflicting flow: default method which generates a conservative value based on the total exiting flow, the HCM Methodology, and a manual method which prompts the user to calculate the projected conflicting volume in the outer most exit lane.  </a:t>
          </a:r>
          <a:endParaRPr lang="en-US" sz="1100" b="0"/>
        </a:p>
        <a:p>
          <a:endParaRPr lang="en-US" sz="1100" b="0"/>
        </a:p>
      </xdr:txBody>
    </xdr:sp>
    <xdr:clientData/>
  </xdr:twoCellAnchor>
  <xdr:twoCellAnchor>
    <xdr:from>
      <xdr:col>0</xdr:col>
      <xdr:colOff>1</xdr:colOff>
      <xdr:row>80</xdr:row>
      <xdr:rowOff>183458</xdr:rowOff>
    </xdr:from>
    <xdr:to>
      <xdr:col>9</xdr:col>
      <xdr:colOff>596348</xdr:colOff>
      <xdr:row>86</xdr:row>
      <xdr:rowOff>132521</xdr:rowOff>
    </xdr:to>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1" y="15317441"/>
          <a:ext cx="6129130" cy="10622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This section computes the critical lane volumes from the above section by finding the highest volume in each approach lane pair. The critical volume is only used to determine the critical entry flow used in the approach leg v/c and control delay equations. In this method, the approach flows are assumed to be in conflict with both circulating lanes.  This</a:t>
          </a:r>
          <a:r>
            <a:rPr lang="en-US" sz="1100" b="0" baseline="0"/>
            <a:t> method using critical lane volumes is NCHRP 572 specific. </a:t>
          </a:r>
        </a:p>
        <a:p>
          <a:r>
            <a:rPr lang="en-US" sz="1100" b="0" baseline="0"/>
            <a:t>The HCM Method does not use a critical lane methodology to calculate conflicting flows, but uses the total exiting traffic.  </a:t>
          </a:r>
          <a:endParaRPr lang="en-US" sz="1100" b="0"/>
        </a:p>
      </xdr:txBody>
    </xdr:sp>
    <xdr:clientData/>
  </xdr:twoCellAnchor>
  <xdr:twoCellAnchor>
    <xdr:from>
      <xdr:col>0</xdr:col>
      <xdr:colOff>0</xdr:colOff>
      <xdr:row>139</xdr:row>
      <xdr:rowOff>141216</xdr:rowOff>
    </xdr:from>
    <xdr:to>
      <xdr:col>9</xdr:col>
      <xdr:colOff>596347</xdr:colOff>
      <xdr:row>171</xdr:row>
      <xdr:rowOff>140804</xdr:rowOff>
    </xdr:to>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0" y="26221494"/>
          <a:ext cx="6129130" cy="59365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1" u="sng"/>
            <a:t>Updates:</a:t>
          </a:r>
        </a:p>
        <a:p>
          <a:r>
            <a:rPr lang="en-US" sz="1100" b="0" i="1" u="sng"/>
            <a:t>Version</a:t>
          </a:r>
          <a:r>
            <a:rPr lang="en-US" sz="1100" b="0" i="1" u="sng" baseline="0"/>
            <a:t> 1.0 (3/17/2009)</a:t>
          </a:r>
          <a:endParaRPr lang="en-US" sz="1100" b="0" i="1" u="sng"/>
        </a:p>
        <a:p>
          <a:r>
            <a:rPr lang="en-US" sz="1100" b="0" i="1" u="sng"/>
            <a:t>Version</a:t>
          </a:r>
          <a:r>
            <a:rPr lang="en-US" sz="1100" b="0" i="1" u="sng" baseline="0"/>
            <a:t> 1.1 (9/1/2009)</a:t>
          </a:r>
        </a:p>
        <a:p>
          <a:pPr>
            <a:buFont typeface="Arial" pitchFamily="34" charset="0"/>
            <a:buChar char="•"/>
          </a:pPr>
          <a:r>
            <a:rPr lang="en-US" sz="1100" b="0" baseline="0"/>
            <a:t>  Improved "START HERE" Page to include Design Worksheet to include Proposed Configuration.</a:t>
          </a:r>
        </a:p>
        <a:p>
          <a:pPr>
            <a:buFont typeface="Arial" pitchFamily="34" charset="0"/>
            <a:buChar char="•"/>
          </a:pPr>
          <a:r>
            <a:rPr lang="en-US" sz="1100" b="0" baseline="0"/>
            <a:t>  Condensed Bypass Tabs into the Main Analysis Tabs</a:t>
          </a:r>
        </a:p>
        <a:p>
          <a:pPr>
            <a:buFont typeface="Arial" pitchFamily="34" charset="0"/>
            <a:buChar char="•"/>
          </a:pPr>
          <a:r>
            <a:rPr lang="en-US" sz="1100" b="0" baseline="0"/>
            <a:t>  Streamlined "Results" to show level of service for unsignalized only.</a:t>
          </a:r>
        </a:p>
        <a:p>
          <a:pPr>
            <a:buFont typeface="Arial" pitchFamily="34" charset="0"/>
            <a:buChar char="•"/>
          </a:pPr>
          <a:r>
            <a:rPr lang="en-US" sz="1100" b="0" baseline="0"/>
            <a:t>  Revised Entry Flow for the UK Model, in the Multi-Lane Tab.</a:t>
          </a:r>
        </a:p>
        <a:p>
          <a:endParaRPr lang="en-US" sz="1100" b="0" baseline="0"/>
        </a:p>
        <a:p>
          <a:r>
            <a:rPr lang="en-US" sz="1100" b="0" i="1" u="sng" baseline="0"/>
            <a:t>Version 1.2 (8/10/2010)</a:t>
          </a:r>
        </a:p>
        <a:p>
          <a:pPr>
            <a:buFont typeface="Arial" pitchFamily="34" charset="0"/>
            <a:buChar char="•"/>
          </a:pPr>
          <a:r>
            <a:rPr lang="en-US" sz="1100" b="0" baseline="0"/>
            <a:t>  Revised Roundabout Type Section to indicate "Standard Single Lane" and "Urban Compact"</a:t>
          </a:r>
        </a:p>
        <a:p>
          <a:pPr>
            <a:buFont typeface="Arial" pitchFamily="34" charset="0"/>
            <a:buChar char="•"/>
          </a:pPr>
          <a:r>
            <a:rPr lang="en-US" sz="1100" b="0" baseline="0"/>
            <a:t>  Revised Multi-Lane Tab to include user input for number of conflicting lanes in circulatory roadway for a given approach.</a:t>
          </a:r>
        </a:p>
        <a:p>
          <a:endParaRPr lang="en-US" sz="1100" b="0" i="1" u="sng" baseline="0">
            <a:solidFill>
              <a:schemeClr val="dk1"/>
            </a:solidFill>
            <a:latin typeface="+mn-lt"/>
            <a:ea typeface="+mn-ea"/>
            <a:cs typeface="+mn-cs"/>
          </a:endParaRPr>
        </a:p>
        <a:p>
          <a:r>
            <a:rPr lang="en-US" sz="1100" b="0" i="1" u="sng" baseline="0">
              <a:solidFill>
                <a:schemeClr val="dk1"/>
              </a:solidFill>
              <a:latin typeface="+mn-lt"/>
              <a:ea typeface="+mn-ea"/>
              <a:cs typeface="+mn-cs"/>
            </a:rPr>
            <a:t>Version 1.3 (9/8/2010)</a:t>
          </a:r>
          <a:endParaRPr lang="en-US"/>
        </a:p>
        <a:p>
          <a:pPr>
            <a:buFont typeface="Arial" pitchFamily="34" charset="0"/>
            <a:buChar char="•"/>
          </a:pPr>
          <a:r>
            <a:rPr lang="en-US" sz="1100" b="0" baseline="0">
              <a:solidFill>
                <a:schemeClr val="dk1"/>
              </a:solidFill>
              <a:latin typeface="+mn-lt"/>
              <a:ea typeface="+mn-ea"/>
              <a:cs typeface="+mn-cs"/>
            </a:rPr>
            <a:t>  Critical Update/Revision to Single Lane Bypass Formula and Multi-Lane Analysis MOEs</a:t>
          </a:r>
        </a:p>
        <a:p>
          <a:pPr>
            <a:buFont typeface="Arial" pitchFamily="34" charset="0"/>
            <a:buChar char="•"/>
          </a:pPr>
          <a:endParaRPr lang="en-US" sz="1100" b="0" baseline="0">
            <a:solidFill>
              <a:schemeClr val="dk1"/>
            </a:solidFill>
            <a:latin typeface="+mn-lt"/>
            <a:ea typeface="+mn-ea"/>
            <a:cs typeface="+mn-cs"/>
          </a:endParaRPr>
        </a:p>
        <a:p>
          <a:r>
            <a:rPr lang="en-US" sz="1100" b="0" i="1" u="sng" baseline="0">
              <a:solidFill>
                <a:schemeClr val="dk1"/>
              </a:solidFill>
              <a:latin typeface="+mn-lt"/>
              <a:ea typeface="+mn-ea"/>
              <a:cs typeface="+mn-cs"/>
            </a:rPr>
            <a:t>Version 2.0 (9/8/2010)</a:t>
          </a:r>
          <a:endParaRPr lang="en-US" sz="1100">
            <a:solidFill>
              <a:schemeClr val="dk1"/>
            </a:solidFill>
            <a:latin typeface="+mn-lt"/>
            <a:ea typeface="+mn-ea"/>
            <a:cs typeface="+mn-cs"/>
          </a:endParaRPr>
        </a:p>
        <a:p>
          <a:pPr marL="171450" indent="-171450">
            <a:buFont typeface="Arial" pitchFamily="34" charset="0"/>
            <a:buChar char="•"/>
          </a:pPr>
          <a:r>
            <a:rPr lang="en-US" sz="1100" b="0" baseline="0">
              <a:solidFill>
                <a:schemeClr val="dk1"/>
              </a:solidFill>
              <a:latin typeface="+mn-lt"/>
              <a:ea typeface="+mn-ea"/>
              <a:cs typeface="+mn-cs"/>
            </a:rPr>
            <a:t>Critical Update/Revision to Single Lane and Multi-Lane sheets to conform to HCM 2010 Methodology from the NCHRP 572</a:t>
          </a:r>
        </a:p>
        <a:p>
          <a:endParaRPr lang="en-US"/>
        </a:p>
        <a:p>
          <a:r>
            <a:rPr lang="en-US" i="1" u="sng"/>
            <a:t>Version 2.1 (2/19/2012)</a:t>
          </a:r>
        </a:p>
        <a:p>
          <a:pPr marL="171450" indent="-171450">
            <a:buFont typeface="Arial" pitchFamily="34" charset="0"/>
            <a:buChar char="•"/>
          </a:pPr>
          <a:r>
            <a:rPr lang="en-US"/>
            <a:t>Critical</a:t>
          </a:r>
          <a:r>
            <a:rPr lang="en-US" baseline="0"/>
            <a:t> Update replaces the UK Model with the Calibrated HCM Model based on Oregon and California site-specific empirical data for critical headway and follow-up headway. </a:t>
          </a:r>
        </a:p>
        <a:p>
          <a:pPr marL="171450" indent="-171450">
            <a:buFont typeface="Arial" pitchFamily="34" charset="0"/>
            <a:buChar char="•"/>
          </a:pPr>
          <a:endParaRPr lang="en-US" sz="1100" i="1" u="sng" baseline="0">
            <a:solidFill>
              <a:sysClr val="windowText" lastClr="000000"/>
            </a:solidFill>
            <a:latin typeface="+mn-lt"/>
            <a:ea typeface="+mn-ea"/>
            <a:cs typeface="+mn-cs"/>
          </a:endParaRPr>
        </a:p>
        <a:p>
          <a:r>
            <a:rPr lang="en-US" sz="1100" i="1" u="sng">
              <a:solidFill>
                <a:sysClr val="windowText" lastClr="000000"/>
              </a:solidFill>
              <a:effectLst/>
              <a:latin typeface="+mn-lt"/>
              <a:ea typeface="+mn-ea"/>
              <a:cs typeface="+mn-cs"/>
            </a:rPr>
            <a:t>Version 3.0 (3/23/2016)</a:t>
          </a:r>
          <a:endParaRPr lang="en-US">
            <a:solidFill>
              <a:sysClr val="windowText" lastClr="000000"/>
            </a:solidFill>
            <a:effectLst/>
          </a:endParaRPr>
        </a:p>
        <a:p>
          <a:pPr marL="171450" indent="-171450">
            <a:buFont typeface="Arial" pitchFamily="34" charset="0"/>
            <a:buChar char="•"/>
          </a:pPr>
          <a:r>
            <a:rPr lang="en-US" sz="1100">
              <a:solidFill>
                <a:sysClr val="windowText" lastClr="000000"/>
              </a:solidFill>
              <a:effectLst/>
              <a:latin typeface="+mn-lt"/>
              <a:ea typeface="+mn-ea"/>
              <a:cs typeface="+mn-cs"/>
            </a:rPr>
            <a:t>Critical</a:t>
          </a:r>
          <a:r>
            <a:rPr lang="en-US" sz="1100" baseline="0">
              <a:solidFill>
                <a:sysClr val="windowText" lastClr="000000"/>
              </a:solidFill>
              <a:effectLst/>
              <a:latin typeface="+mn-lt"/>
              <a:ea typeface="+mn-ea"/>
              <a:cs typeface="+mn-cs"/>
            </a:rPr>
            <a:t> Update replaces the single lane models with the HCM 6th Edition Model. </a:t>
          </a:r>
        </a:p>
        <a:p>
          <a:pPr marL="171450" indent="-171450">
            <a:buFont typeface="Arial" pitchFamily="34" charset="0"/>
            <a:buChar char="•"/>
          </a:pPr>
          <a:r>
            <a:rPr lang="en-US">
              <a:solidFill>
                <a:sysClr val="windowText" lastClr="000000"/>
              </a:solidFill>
              <a:effectLst/>
            </a:rPr>
            <a:t>The multilane</a:t>
          </a:r>
          <a:r>
            <a:rPr lang="en-US" baseline="0">
              <a:solidFill>
                <a:sysClr val="windowText" lastClr="000000"/>
              </a:solidFill>
              <a:effectLst/>
            </a:rPr>
            <a:t> models </a:t>
          </a:r>
          <a:r>
            <a:rPr lang="en-US">
              <a:solidFill>
                <a:sysClr val="windowText" lastClr="000000"/>
              </a:solidFill>
              <a:effectLst/>
            </a:rPr>
            <a:t>on</a:t>
          </a:r>
          <a:r>
            <a:rPr lang="en-US" baseline="0">
              <a:solidFill>
                <a:sysClr val="windowText" lastClr="000000"/>
              </a:solidFill>
              <a:effectLst/>
            </a:rPr>
            <a:t> the Multilane Tab are replaced with the HCM 6th Edition Model. </a:t>
          </a:r>
        </a:p>
        <a:p>
          <a:pPr marL="171450" indent="-171450">
            <a:buFont typeface="Arial" pitchFamily="34" charset="0"/>
            <a:buChar char="•"/>
          </a:pPr>
          <a:r>
            <a:rPr lang="en-US" baseline="0">
              <a:solidFill>
                <a:sysClr val="windowText" lastClr="000000"/>
              </a:solidFill>
              <a:effectLst/>
            </a:rPr>
            <a:t>PHF is changes to .95 for urban and .92 for suburban</a:t>
          </a:r>
        </a:p>
        <a:p>
          <a:pPr marL="171450" indent="-171450">
            <a:buFont typeface="Arial" pitchFamily="34" charset="0"/>
            <a:buChar char="•"/>
          </a:pPr>
          <a:r>
            <a:rPr lang="en-US" baseline="0">
              <a:solidFill>
                <a:sysClr val="windowText" lastClr="000000"/>
              </a:solidFill>
              <a:effectLst/>
            </a:rPr>
            <a:t>Various updates to the Instructions Tab</a:t>
          </a:r>
        </a:p>
        <a:p>
          <a:pPr marL="171450" indent="-171450">
            <a:buFont typeface="Arial" pitchFamily="34" charset="0"/>
            <a:buChar char="•"/>
          </a:pPr>
          <a:endParaRPr lang="en-US" sz="1100" i="1" u="sng">
            <a:solidFill>
              <a:sysClr val="windowText" lastClr="000000"/>
            </a:solidFill>
            <a:effectLst/>
            <a:latin typeface="+mn-lt"/>
            <a:ea typeface="+mn-ea"/>
            <a:cs typeface="+mn-cs"/>
          </a:endParaRPr>
        </a:p>
        <a:p>
          <a:pPr marL="0" indent="0">
            <a:buFontTx/>
            <a:buNone/>
          </a:pPr>
          <a:r>
            <a:rPr lang="en-US" sz="1100" i="1" u="sng">
              <a:solidFill>
                <a:sysClr val="windowText" lastClr="000000"/>
              </a:solidFill>
              <a:effectLst/>
              <a:latin typeface="+mn-lt"/>
              <a:ea typeface="+mn-ea"/>
              <a:cs typeface="+mn-cs"/>
            </a:rPr>
            <a:t>Version 3.1 (7/25/2016)</a:t>
          </a:r>
        </a:p>
        <a:p>
          <a:pPr marL="171450" indent="-171450">
            <a:buFont typeface="Arial" pitchFamily="34" charset="0"/>
            <a:buChar char="•"/>
          </a:pPr>
          <a:r>
            <a:rPr lang="en-US" baseline="0">
              <a:solidFill>
                <a:sysClr val="windowText" lastClr="000000"/>
              </a:solidFill>
              <a:effectLst/>
            </a:rPr>
            <a:t>Update corrects the Single Lane Tab to calculate the approach with bypass delay and LOS according to the HCM 6th Edition formulas. </a:t>
          </a:r>
        </a:p>
        <a:p>
          <a:endParaRPr lang="en-US" sz="1100" b="0" i="0" u="none"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sng" strike="noStrike" kern="0" cap="none" spc="0" normalizeH="0" baseline="0" noProof="0">
              <a:ln>
                <a:noFill/>
              </a:ln>
              <a:solidFill>
                <a:sysClr val="windowText" lastClr="000000"/>
              </a:solidFill>
              <a:effectLst/>
              <a:uLnTx/>
              <a:uFillTx/>
              <a:latin typeface="+mn-lt"/>
              <a:ea typeface="+mn-ea"/>
              <a:cs typeface="+mn-cs"/>
            </a:rPr>
            <a:t>Version 4.0 (2/13/2017)</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Critical Update creates Mini Roundabout Tab, using HCM 2010 Edition for capacity calcuations</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Updated START HERE and INSTRUCTIONS tab to include Mini Roundabouts</a:t>
          </a:r>
        </a:p>
        <a:p>
          <a:endParaRPr lang="en-US" sz="1100" b="0" i="0" u="non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1" u="sng" strike="noStrike" kern="0" cap="none" spc="0" normalizeH="0" baseline="0" noProof="0">
              <a:ln>
                <a:noFill/>
              </a:ln>
              <a:solidFill>
                <a:sysClr val="windowText" lastClr="000000"/>
              </a:solidFill>
              <a:effectLst/>
              <a:uLnTx/>
              <a:uFillTx/>
              <a:latin typeface="+mn-lt"/>
              <a:ea typeface="+mn-ea"/>
              <a:cs typeface="+mn-cs"/>
            </a:rPr>
            <a:t>Version 4.1 (5/19/2017)</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'Conditions met?' column with </a:t>
          </a:r>
          <a:r>
            <a:rPr lang="en-US" sz="1100" b="0" i="0" baseline="0">
              <a:solidFill>
                <a:schemeClr val="dk1"/>
              </a:solidFill>
              <a:effectLst/>
              <a:latin typeface="+mn-lt"/>
              <a:ea typeface="+mn-ea"/>
              <a:cs typeface="+mn-cs"/>
            </a:rPr>
            <a:t>Yes/No</a:t>
          </a:r>
          <a:r>
            <a:rPr kumimoji="0" lang="en-US" sz="1100" b="0" i="0" u="none" strike="noStrike" kern="0" cap="none" spc="0" normalizeH="0" baseline="0" noProof="0">
              <a:ln>
                <a:noFill/>
              </a:ln>
              <a:solidFill>
                <a:sysClr val="windowText" lastClr="000000"/>
              </a:solidFill>
              <a:effectLst/>
              <a:uLnTx/>
              <a:uFillTx/>
              <a:latin typeface="+mn-lt"/>
              <a:ea typeface="+mn-ea"/>
              <a:cs typeface="+mn-cs"/>
            </a:rPr>
            <a:t> options added to START HERE tab beside planning level thresholds</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GDOT logo added to every tab</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endParaRPr kumimoji="0" lang="en-US"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en-US" sz="1100" b="0" i="1" u="sng" strike="noStrike" kern="0" cap="none" spc="0" normalizeH="0" baseline="0" noProof="0">
              <a:ln>
                <a:noFill/>
              </a:ln>
              <a:solidFill>
                <a:sysClr val="windowText" lastClr="000000"/>
              </a:solidFill>
              <a:effectLst/>
              <a:uLnTx/>
              <a:uFillTx/>
              <a:latin typeface="+mn-lt"/>
              <a:ea typeface="+mn-ea"/>
              <a:cs typeface="+mn-cs"/>
            </a:rPr>
            <a:t>Version 4.2 (12/24/19)</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Added Average Queue to each tab</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Added Overall Intersection Measures of Effectiveness: Delay, LOS, and Max V/C</a:t>
          </a:r>
        </a:p>
        <a:p>
          <a:pPr marL="171450" marR="0" lvl="0" indent="-171450" defTabSz="914400" eaLnBrk="1" fontAlgn="auto" latinLnBrk="0" hangingPunct="1">
            <a:lnSpc>
              <a:spcPct val="100000"/>
            </a:lnSpc>
            <a:spcBef>
              <a:spcPts val="0"/>
            </a:spcBef>
            <a:spcAft>
              <a:spcPts val="0"/>
            </a:spcAft>
            <a:buClrTx/>
            <a:buSzTx/>
            <a:buFont typeface="Arial" pitchFamily="34" charset="0"/>
            <a:buChar char="•"/>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General formatting updates</a:t>
          </a:r>
        </a:p>
        <a:p>
          <a:endParaRPr lang="en-US" sz="1100" b="0" i="0" u="none" baseline="0">
            <a:solidFill>
              <a:schemeClr val="dk1"/>
            </a:solidFill>
            <a:effectLst/>
            <a:latin typeface="+mn-lt"/>
            <a:ea typeface="+mn-ea"/>
            <a:cs typeface="+mn-cs"/>
          </a:endParaRPr>
        </a:p>
      </xdr:txBody>
    </xdr:sp>
    <xdr:clientData/>
  </xdr:twoCellAnchor>
  <xdr:twoCellAnchor>
    <xdr:from>
      <xdr:col>0</xdr:col>
      <xdr:colOff>0</xdr:colOff>
      <xdr:row>129</xdr:row>
      <xdr:rowOff>173934</xdr:rowOff>
    </xdr:from>
    <xdr:to>
      <xdr:col>9</xdr:col>
      <xdr:colOff>583095</xdr:colOff>
      <xdr:row>139</xdr:row>
      <xdr:rowOff>184288</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24398908"/>
          <a:ext cx="6115878" cy="1865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000">
              <a:solidFill>
                <a:schemeClr val="dk1"/>
              </a:solidFill>
              <a:latin typeface="+mn-lt"/>
              <a:ea typeface="+mn-ea"/>
              <a:cs typeface="+mn-cs"/>
            </a:rPr>
            <a:t>Disclaimer:  This Excel workbook is provided for use by persons outside of the Georgia Department of Transportation (GDOT) as information only.  GDOT, the State of Georgia, nor its officers or employees, by making this workbook available for use by persons outside of GDOT, do not undertake any duties or responsibilities of any such person or entity who chooses to use this document.  This workbook should not be substituted for the exercise of a person's own professional judgment nor the determination by contractors of the appropriate manner and method of construction on projects under their control.  It is the user's obligation to make sure that he/she uses the appropriate practices.  You are advised to test the program thoroughly before you rely on it.  Should the program prove defective, you (and not GDOT or the State of Georgia) assumes the entire responsibility.  Any person using this workbook agrees that GDOT will not be liable for any commercial loss; inconvenience; loss of use, time, data, goodwill, revenues, profits, or savings; or any other special, incidental, indirect, or consequential damages in any way related to or arising from use of this workbook.</a:t>
          </a:r>
          <a:endParaRPr lang="en-US" sz="1000"/>
        </a:p>
      </xdr:txBody>
    </xdr:sp>
    <xdr:clientData/>
  </xdr:twoCellAnchor>
  <xdr:twoCellAnchor>
    <xdr:from>
      <xdr:col>0</xdr:col>
      <xdr:colOff>0</xdr:colOff>
      <xdr:row>56</xdr:row>
      <xdr:rowOff>182217</xdr:rowOff>
    </xdr:from>
    <xdr:to>
      <xdr:col>9</xdr:col>
      <xdr:colOff>561975</xdr:colOff>
      <xdr:row>60</xdr:row>
      <xdr:rowOff>82826</xdr:rowOff>
    </xdr:to>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0" y="11131826"/>
          <a:ext cx="5995366" cy="6626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a:t>This worksheet calculates values for mini </a:t>
          </a:r>
          <a:r>
            <a:rPr lang="en-US" sz="1100" b="0" baseline="0"/>
            <a:t>roundabouts. Mini roundabouts have fully mountable central islands and smaller diameters, generally below 100 ft. There may be right turn bypasses on the approaches but only one circulating lane in the circulatory roadway</a:t>
          </a:r>
          <a:endParaRPr lang="en-US" sz="1100" b="0"/>
        </a:p>
      </xdr:txBody>
    </xdr:sp>
    <xdr:clientData/>
  </xdr:twoCellAnchor>
  <xdr:twoCellAnchor>
    <xdr:from>
      <xdr:col>0</xdr:col>
      <xdr:colOff>0</xdr:colOff>
      <xdr:row>88</xdr:row>
      <xdr:rowOff>170207</xdr:rowOff>
    </xdr:from>
    <xdr:to>
      <xdr:col>9</xdr:col>
      <xdr:colOff>609600</xdr:colOff>
      <xdr:row>92</xdr:row>
      <xdr:rowOff>0</xdr:rowOff>
    </xdr:to>
    <xdr:sp macro="" textlink="">
      <xdr:nvSpPr>
        <xdr:cNvPr id="17" name="TextBox 16">
          <a:extLst>
            <a:ext uri="{FF2B5EF4-FFF2-40B4-BE49-F238E27FC236}">
              <a16:creationId xmlns:a16="http://schemas.microsoft.com/office/drawing/2014/main" id="{2247B2B5-6F6D-4CCA-B681-3D502EFB41EB}"/>
            </a:ext>
          </a:extLst>
        </xdr:cNvPr>
        <xdr:cNvSpPr txBox="1"/>
      </xdr:nvSpPr>
      <xdr:spPr>
        <a:xfrm>
          <a:off x="0" y="16788433"/>
          <a:ext cx="6142383" cy="5719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i="0" u="none" strike="noStrike">
              <a:solidFill>
                <a:schemeClr val="dk1"/>
              </a:solidFill>
              <a:effectLst/>
              <a:latin typeface="+mn-lt"/>
              <a:ea typeface="+mn-ea"/>
              <a:cs typeface="+mn-cs"/>
            </a:rPr>
            <a:t>In addition to the other results as previously discussed, the critical lane entry flow is shown.</a:t>
          </a:r>
          <a:r>
            <a:rPr lang="en-US"/>
            <a:t> </a:t>
          </a:r>
          <a:br>
            <a:rPr lang="en-US"/>
          </a:br>
          <a:r>
            <a:rPr lang="en-US" sz="1100" b="0" i="0" u="none" strike="noStrike">
              <a:solidFill>
                <a:schemeClr val="dk1"/>
              </a:solidFill>
              <a:effectLst/>
              <a:latin typeface="+mn-lt"/>
              <a:ea typeface="+mn-ea"/>
              <a:cs typeface="+mn-cs"/>
            </a:rPr>
            <a:t>Overall intersection measures of effectiveness include the weighted average control delay,unsignalized LOS, and the maximum reported v/c ration among all analyzed approaches. </a:t>
          </a:r>
          <a:r>
            <a:rPr lang="en-US"/>
            <a:t> </a:t>
          </a:r>
          <a:endParaRPr lang="en-US" sz="1100" b="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219076</xdr:colOff>
      <xdr:row>23</xdr:row>
      <xdr:rowOff>1</xdr:rowOff>
    </xdr:from>
    <xdr:to>
      <xdr:col>12</xdr:col>
      <xdr:colOff>381000</xdr:colOff>
      <xdr:row>26</xdr:row>
      <xdr:rowOff>180975</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248401" y="4419601"/>
          <a:ext cx="1876424" cy="752474"/>
        </a:xfrm>
        <a:prstGeom prst="wedgeRectCallout">
          <a:avLst>
            <a:gd name="adj1" fmla="val -62585"/>
            <a:gd name="adj2" fmla="val 11815"/>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truck percentages for every approach.  Insert bus and bicycle percentages if available.</a:t>
          </a:r>
          <a:endParaRPr lang="en-US" sz="1050" b="1" i="1"/>
        </a:p>
      </xdr:txBody>
    </xdr:sp>
    <xdr:clientData/>
  </xdr:twoCellAnchor>
  <xdr:twoCellAnchor>
    <xdr:from>
      <xdr:col>6</xdr:col>
      <xdr:colOff>531922</xdr:colOff>
      <xdr:row>0</xdr:row>
      <xdr:rowOff>39596</xdr:rowOff>
    </xdr:from>
    <xdr:to>
      <xdr:col>10</xdr:col>
      <xdr:colOff>142875</xdr:colOff>
      <xdr:row>10</xdr:row>
      <xdr:rowOff>6535</xdr:rowOff>
    </xdr:to>
    <xdr:grpSp>
      <xdr:nvGrpSpPr>
        <xdr:cNvPr id="3" name="Group 2">
          <a:extLst>
            <a:ext uri="{FF2B5EF4-FFF2-40B4-BE49-F238E27FC236}">
              <a16:creationId xmlns:a16="http://schemas.microsoft.com/office/drawing/2014/main" id="{00000000-0008-0000-0200-000003000000}"/>
            </a:ext>
          </a:extLst>
        </xdr:cNvPr>
        <xdr:cNvGrpSpPr/>
      </xdr:nvGrpSpPr>
      <xdr:grpSpPr>
        <a:xfrm>
          <a:off x="4313347" y="39596"/>
          <a:ext cx="1858853" cy="1890989"/>
          <a:chOff x="3384791" y="11270"/>
          <a:chExt cx="2272023" cy="1890240"/>
        </a:xfrm>
      </xdr:grpSpPr>
      <xdr:grpSp>
        <xdr:nvGrpSpPr>
          <xdr:cNvPr id="4" name="Group 3">
            <a:extLst>
              <a:ext uri="{FF2B5EF4-FFF2-40B4-BE49-F238E27FC236}">
                <a16:creationId xmlns:a16="http://schemas.microsoft.com/office/drawing/2014/main" id="{00000000-0008-0000-0200-000004000000}"/>
              </a:ext>
            </a:extLst>
          </xdr:cNvPr>
          <xdr:cNvGrpSpPr>
            <a:grpSpLocks/>
          </xdr:cNvGrpSpPr>
        </xdr:nvGrpSpPr>
        <xdr:grpSpPr bwMode="auto">
          <a:xfrm>
            <a:off x="3384791" y="11270"/>
            <a:ext cx="2272023" cy="1890240"/>
            <a:chOff x="403" y="42"/>
            <a:chExt cx="231" cy="206"/>
          </a:xfrm>
        </xdr:grpSpPr>
        <xdr:grpSp>
          <xdr:nvGrpSpPr>
            <xdr:cNvPr id="6" name="Group 5">
              <a:extLst>
                <a:ext uri="{FF2B5EF4-FFF2-40B4-BE49-F238E27FC236}">
                  <a16:creationId xmlns:a16="http://schemas.microsoft.com/office/drawing/2014/main" id="{00000000-0008-0000-0200-000006000000}"/>
                </a:ext>
              </a:extLst>
            </xdr:cNvPr>
            <xdr:cNvGrpSpPr>
              <a:grpSpLocks/>
            </xdr:cNvGrpSpPr>
          </xdr:nvGrpSpPr>
          <xdr:grpSpPr bwMode="auto">
            <a:xfrm>
              <a:off x="403" y="42"/>
              <a:ext cx="231" cy="206"/>
              <a:chOff x="403" y="42"/>
              <a:chExt cx="231" cy="206"/>
            </a:xfrm>
          </xdr:grpSpPr>
          <xdr:sp macro="" textlink="">
            <xdr:nvSpPr>
              <xdr:cNvPr id="8" name="Rectangle 3">
                <a:extLst>
                  <a:ext uri="{FF2B5EF4-FFF2-40B4-BE49-F238E27FC236}">
                    <a16:creationId xmlns:a16="http://schemas.microsoft.com/office/drawing/2014/main" id="{00000000-0008-0000-0200-000008000000}"/>
                  </a:ext>
                </a:extLst>
              </xdr:cNvPr>
              <xdr:cNvSpPr>
                <a:spLocks noChangeArrowheads="1"/>
              </xdr:cNvSpPr>
            </xdr:nvSpPr>
            <xdr:spPr bwMode="auto">
              <a:xfrm>
                <a:off x="407" y="42"/>
                <a:ext cx="206" cy="201"/>
              </a:xfrm>
              <a:prstGeom prst="rect">
                <a:avLst/>
              </a:prstGeom>
              <a:solidFill>
                <a:srgbClr val="FFFFFF"/>
              </a:solidFill>
              <a:ln w="9525">
                <a:solidFill>
                  <a:srgbClr val="000000"/>
                </a:solidFill>
                <a:miter lim="800000"/>
                <a:headEnd/>
                <a:tailEnd/>
              </a:ln>
            </xdr:spPr>
          </xdr:sp>
          <xdr:sp macro="" textlink="">
            <xdr:nvSpPr>
              <xdr:cNvPr id="9" name="Line 4">
                <a:extLst>
                  <a:ext uri="{FF2B5EF4-FFF2-40B4-BE49-F238E27FC236}">
                    <a16:creationId xmlns:a16="http://schemas.microsoft.com/office/drawing/2014/main" id="{00000000-0008-0000-0200-000009000000}"/>
                  </a:ext>
                </a:extLst>
              </xdr:cNvPr>
              <xdr:cNvSpPr>
                <a:spLocks noChangeShapeType="1"/>
              </xdr:cNvSpPr>
            </xdr:nvSpPr>
            <xdr:spPr bwMode="auto">
              <a:xfrm rot="5400000">
                <a:off x="517" y="72"/>
                <a:ext cx="0" cy="138"/>
              </a:xfrm>
              <a:prstGeom prst="line">
                <a:avLst/>
              </a:prstGeom>
              <a:noFill/>
              <a:ln w="57150" cap="rnd">
                <a:solidFill>
                  <a:schemeClr val="tx1">
                    <a:lumMod val="75000"/>
                    <a:lumOff val="25000"/>
                  </a:schemeClr>
                </a:solidFill>
                <a:prstDash val="solid"/>
                <a:round/>
                <a:headEnd/>
                <a:tailEnd/>
              </a:ln>
            </xdr:spPr>
          </xdr:sp>
          <xdr:sp macro="" textlink="">
            <xdr:nvSpPr>
              <xdr:cNvPr id="10" name="Line 5">
                <a:extLst>
                  <a:ext uri="{FF2B5EF4-FFF2-40B4-BE49-F238E27FC236}">
                    <a16:creationId xmlns:a16="http://schemas.microsoft.com/office/drawing/2014/main" id="{00000000-0008-0000-0200-00000A000000}"/>
                  </a:ext>
                </a:extLst>
              </xdr:cNvPr>
              <xdr:cNvSpPr>
                <a:spLocks noChangeShapeType="1"/>
              </xdr:cNvSpPr>
            </xdr:nvSpPr>
            <xdr:spPr bwMode="auto">
              <a:xfrm rot="2835075">
                <a:off x="517" y="72"/>
                <a:ext cx="0" cy="138"/>
              </a:xfrm>
              <a:prstGeom prst="line">
                <a:avLst/>
              </a:prstGeom>
              <a:noFill/>
              <a:ln w="38100" cap="rnd">
                <a:solidFill>
                  <a:srgbClr val="000000"/>
                </a:solidFill>
                <a:prstDash val="solid"/>
                <a:round/>
                <a:headEnd/>
                <a:tailEnd/>
              </a:ln>
            </xdr:spPr>
          </xdr:sp>
          <xdr:sp macro="" textlink="">
            <xdr:nvSpPr>
              <xdr:cNvPr id="11" name="Line 6">
                <a:extLst>
                  <a:ext uri="{FF2B5EF4-FFF2-40B4-BE49-F238E27FC236}">
                    <a16:creationId xmlns:a16="http://schemas.microsoft.com/office/drawing/2014/main" id="{00000000-0008-0000-0200-00000B000000}"/>
                  </a:ext>
                </a:extLst>
              </xdr:cNvPr>
              <xdr:cNvSpPr>
                <a:spLocks noChangeShapeType="1"/>
              </xdr:cNvSpPr>
            </xdr:nvSpPr>
            <xdr:spPr bwMode="auto">
              <a:xfrm rot="-2902981">
                <a:off x="517" y="72"/>
                <a:ext cx="0" cy="138"/>
              </a:xfrm>
              <a:prstGeom prst="line">
                <a:avLst/>
              </a:prstGeom>
              <a:noFill/>
              <a:ln w="38100" cap="rnd">
                <a:solidFill>
                  <a:schemeClr val="tx1">
                    <a:lumMod val="85000"/>
                    <a:lumOff val="15000"/>
                  </a:schemeClr>
                </a:solidFill>
                <a:prstDash val="solid"/>
                <a:round/>
                <a:headEnd/>
                <a:tailEnd/>
              </a:ln>
            </xdr:spPr>
          </xdr:sp>
          <xdr:sp macro="" textlink="">
            <xdr:nvSpPr>
              <xdr:cNvPr id="12" name="Text Box 7">
                <a:extLst>
                  <a:ext uri="{FF2B5EF4-FFF2-40B4-BE49-F238E27FC236}">
                    <a16:creationId xmlns:a16="http://schemas.microsoft.com/office/drawing/2014/main" id="{00000000-0008-0000-0200-00000C000000}"/>
                  </a:ext>
                </a:extLst>
              </xdr:cNvPr>
              <xdr:cNvSpPr txBox="1">
                <a:spLocks noChangeArrowheads="1"/>
              </xdr:cNvSpPr>
            </xdr:nvSpPr>
            <xdr:spPr bwMode="auto">
              <a:xfrm>
                <a:off x="500" y="56"/>
                <a:ext cx="4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 (1)</a:t>
                </a:r>
              </a:p>
              <a:p>
                <a:pPr algn="l" rtl="0">
                  <a:defRPr sz="1000"/>
                </a:pPr>
                <a:endParaRPr lang="en-US" sz="1000" b="0" i="0" strike="noStrike">
                  <a:solidFill>
                    <a:srgbClr val="000000"/>
                  </a:solidFill>
                  <a:latin typeface="Arial"/>
                  <a:cs typeface="Arial"/>
                </a:endParaRPr>
              </a:p>
            </xdr:txBody>
          </xdr:sp>
          <xdr:sp macro="" textlink="">
            <xdr:nvSpPr>
              <xdr:cNvPr id="13" name="Text Box 8">
                <a:extLst>
                  <a:ext uri="{FF2B5EF4-FFF2-40B4-BE49-F238E27FC236}">
                    <a16:creationId xmlns:a16="http://schemas.microsoft.com/office/drawing/2014/main" id="{00000000-0008-0000-0200-00000D000000}"/>
                  </a:ext>
                </a:extLst>
              </xdr:cNvPr>
              <xdr:cNvSpPr txBox="1">
                <a:spLocks noChangeArrowheads="1"/>
              </xdr:cNvSpPr>
            </xdr:nvSpPr>
            <xdr:spPr bwMode="auto">
              <a:xfrm>
                <a:off x="560" y="188"/>
                <a:ext cx="57"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SE (4)</a:t>
                </a:r>
              </a:p>
              <a:p>
                <a:pPr algn="l" rtl="0">
                  <a:defRPr sz="1000"/>
                </a:pPr>
                <a:endParaRPr lang="en-US" sz="1000" b="0" i="0" strike="noStrike">
                  <a:solidFill>
                    <a:srgbClr val="000000"/>
                  </a:solidFill>
                  <a:latin typeface="Arial"/>
                  <a:cs typeface="Arial"/>
                </a:endParaRPr>
              </a:p>
            </xdr:txBody>
          </xdr:sp>
          <xdr:sp macro="" textlink="">
            <xdr:nvSpPr>
              <xdr:cNvPr id="14" name="Text Box 9">
                <a:extLst>
                  <a:ext uri="{FF2B5EF4-FFF2-40B4-BE49-F238E27FC236}">
                    <a16:creationId xmlns:a16="http://schemas.microsoft.com/office/drawing/2014/main" id="{00000000-0008-0000-0200-00000E000000}"/>
                  </a:ext>
                </a:extLst>
              </xdr:cNvPr>
              <xdr:cNvSpPr txBox="1">
                <a:spLocks noChangeArrowheads="1"/>
              </xdr:cNvSpPr>
            </xdr:nvSpPr>
            <xdr:spPr bwMode="auto">
              <a:xfrm>
                <a:off x="561" y="72"/>
                <a:ext cx="58" cy="26"/>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NE (2)</a:t>
                </a:r>
              </a:p>
              <a:p>
                <a:pPr algn="l" rtl="0">
                  <a:defRPr sz="1000"/>
                </a:pPr>
                <a:endParaRPr lang="en-US" sz="1000" b="0" i="0" strike="noStrike">
                  <a:solidFill>
                    <a:srgbClr val="000000"/>
                  </a:solidFill>
                  <a:latin typeface="Arial"/>
                  <a:cs typeface="Arial"/>
                </a:endParaRPr>
              </a:p>
            </xdr:txBody>
          </xdr:sp>
          <xdr:sp macro="" textlink="">
            <xdr:nvSpPr>
              <xdr:cNvPr id="15" name="Text Box 10">
                <a:extLst>
                  <a:ext uri="{FF2B5EF4-FFF2-40B4-BE49-F238E27FC236}">
                    <a16:creationId xmlns:a16="http://schemas.microsoft.com/office/drawing/2014/main" id="{00000000-0008-0000-0200-00000F000000}"/>
                  </a:ext>
                </a:extLst>
              </xdr:cNvPr>
              <xdr:cNvSpPr txBox="1">
                <a:spLocks noChangeArrowheads="1"/>
              </xdr:cNvSpPr>
            </xdr:nvSpPr>
            <xdr:spPr bwMode="auto">
              <a:xfrm>
                <a:off x="586" y="130"/>
                <a:ext cx="48"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E (3)</a:t>
                </a:r>
              </a:p>
              <a:p>
                <a:pPr algn="l" rtl="0">
                  <a:defRPr sz="1000"/>
                </a:pPr>
                <a:endParaRPr lang="en-US" sz="1000" b="0" i="0" strike="noStrike">
                  <a:solidFill>
                    <a:srgbClr val="000000"/>
                  </a:solidFill>
                  <a:latin typeface="Arial"/>
                  <a:cs typeface="Arial"/>
                </a:endParaRPr>
              </a:p>
            </xdr:txBody>
          </xdr:sp>
          <xdr:sp macro="" textlink="">
            <xdr:nvSpPr>
              <xdr:cNvPr id="16" name="Text Box 11">
                <a:extLst>
                  <a:ext uri="{FF2B5EF4-FFF2-40B4-BE49-F238E27FC236}">
                    <a16:creationId xmlns:a16="http://schemas.microsoft.com/office/drawing/2014/main" id="{00000000-0008-0000-0200-000010000000}"/>
                  </a:ext>
                </a:extLst>
              </xdr:cNvPr>
              <xdr:cNvSpPr txBox="1">
                <a:spLocks noChangeArrowheads="1"/>
              </xdr:cNvSpPr>
            </xdr:nvSpPr>
            <xdr:spPr bwMode="auto">
              <a:xfrm>
                <a:off x="500" y="208"/>
                <a:ext cx="48" cy="25"/>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 (5)</a:t>
                </a:r>
              </a:p>
              <a:p>
                <a:pPr algn="l" rtl="0">
                  <a:defRPr sz="1000"/>
                </a:pPr>
                <a:endParaRPr lang="en-US" sz="1000" b="0" i="0" strike="noStrike">
                  <a:solidFill>
                    <a:srgbClr val="000000"/>
                  </a:solidFill>
                  <a:latin typeface="Arial"/>
                  <a:cs typeface="Arial"/>
                </a:endParaRPr>
              </a:p>
            </xdr:txBody>
          </xdr:sp>
          <xdr:sp macro="" textlink="">
            <xdr:nvSpPr>
              <xdr:cNvPr id="17" name="Text Box 12">
                <a:extLst>
                  <a:ext uri="{FF2B5EF4-FFF2-40B4-BE49-F238E27FC236}">
                    <a16:creationId xmlns:a16="http://schemas.microsoft.com/office/drawing/2014/main" id="{00000000-0008-0000-0200-000011000000}"/>
                  </a:ext>
                </a:extLst>
              </xdr:cNvPr>
              <xdr:cNvSpPr txBox="1">
                <a:spLocks noChangeArrowheads="1"/>
              </xdr:cNvSpPr>
            </xdr:nvSpPr>
            <xdr:spPr bwMode="auto">
              <a:xfrm>
                <a:off x="423" y="187"/>
                <a:ext cx="5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SW (6)</a:t>
                </a:r>
              </a:p>
              <a:p>
                <a:pPr algn="l" rtl="0">
                  <a:defRPr sz="1000"/>
                </a:pPr>
                <a:endParaRPr lang="en-US" sz="1000" b="0" i="0" strike="noStrike">
                  <a:solidFill>
                    <a:srgbClr val="000000"/>
                  </a:solidFill>
                  <a:latin typeface="Arial"/>
                  <a:cs typeface="Arial"/>
                </a:endParaRPr>
              </a:p>
            </xdr:txBody>
          </xdr:sp>
          <xdr:sp macro="" textlink="">
            <xdr:nvSpPr>
              <xdr:cNvPr id="18" name="Text Box 13">
                <a:extLst>
                  <a:ext uri="{FF2B5EF4-FFF2-40B4-BE49-F238E27FC236}">
                    <a16:creationId xmlns:a16="http://schemas.microsoft.com/office/drawing/2014/main" id="{00000000-0008-0000-0200-000012000000}"/>
                  </a:ext>
                </a:extLst>
              </xdr:cNvPr>
              <xdr:cNvSpPr txBox="1">
                <a:spLocks noChangeArrowheads="1"/>
              </xdr:cNvSpPr>
            </xdr:nvSpPr>
            <xdr:spPr bwMode="auto">
              <a:xfrm>
                <a:off x="403" y="130"/>
                <a:ext cx="52"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W (7)</a:t>
                </a:r>
              </a:p>
              <a:p>
                <a:pPr algn="l" rtl="0">
                  <a:defRPr sz="1000"/>
                </a:pPr>
                <a:endParaRPr lang="en-US" sz="1000" b="0" i="0" strike="noStrike">
                  <a:solidFill>
                    <a:srgbClr val="000000"/>
                  </a:solidFill>
                  <a:latin typeface="Arial"/>
                  <a:cs typeface="Arial"/>
                </a:endParaRPr>
              </a:p>
            </xdr:txBody>
          </xdr:sp>
          <xdr:sp macro="" textlink="">
            <xdr:nvSpPr>
              <xdr:cNvPr id="19" name="Text Box 14">
                <a:extLst>
                  <a:ext uri="{FF2B5EF4-FFF2-40B4-BE49-F238E27FC236}">
                    <a16:creationId xmlns:a16="http://schemas.microsoft.com/office/drawing/2014/main" id="{00000000-0008-0000-0200-000013000000}"/>
                  </a:ext>
                </a:extLst>
              </xdr:cNvPr>
              <xdr:cNvSpPr txBox="1">
                <a:spLocks noChangeArrowheads="1"/>
              </xdr:cNvSpPr>
            </xdr:nvSpPr>
            <xdr:spPr bwMode="auto">
              <a:xfrm>
                <a:off x="423" y="68"/>
                <a:ext cx="62"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NW (8)</a:t>
                </a:r>
              </a:p>
              <a:p>
                <a:pPr algn="l" rtl="0">
                  <a:defRPr sz="1000"/>
                </a:pPr>
                <a:endParaRPr lang="en-US" sz="1000" b="0" i="0" strike="noStrike">
                  <a:solidFill>
                    <a:srgbClr val="000000"/>
                  </a:solidFill>
                  <a:latin typeface="Arial"/>
                  <a:cs typeface="Arial"/>
                </a:endParaRPr>
              </a:p>
            </xdr:txBody>
          </xdr:sp>
          <xdr:sp macro="" textlink="">
            <xdr:nvSpPr>
              <xdr:cNvPr id="20" name="AutoShape 15">
                <a:extLst>
                  <a:ext uri="{FF2B5EF4-FFF2-40B4-BE49-F238E27FC236}">
                    <a16:creationId xmlns:a16="http://schemas.microsoft.com/office/drawing/2014/main" id="{00000000-0008-0000-0200-000014000000}"/>
                  </a:ext>
                </a:extLst>
              </xdr:cNvPr>
              <xdr:cNvSpPr>
                <a:spLocks noChangeArrowheads="1"/>
              </xdr:cNvSpPr>
            </xdr:nvSpPr>
            <xdr:spPr bwMode="auto">
              <a:xfrm>
                <a:off x="543" y="216"/>
                <a:ext cx="23" cy="22"/>
              </a:xfrm>
              <a:prstGeom prst="upArrow">
                <a:avLst>
                  <a:gd name="adj1" fmla="val 50000"/>
                  <a:gd name="adj2" fmla="val 25000"/>
                </a:avLst>
              </a:prstGeom>
              <a:solidFill>
                <a:srgbClr val="BBE0E3"/>
              </a:solidFill>
              <a:ln w="9525">
                <a:solidFill>
                  <a:srgbClr val="000000"/>
                </a:solidFill>
                <a:miter lim="800000"/>
                <a:headEnd/>
                <a:tailEnd/>
              </a:ln>
            </xdr:spPr>
          </xdr:sp>
          <xdr:sp macro="" textlink="">
            <xdr:nvSpPr>
              <xdr:cNvPr id="21" name="Text Box 16">
                <a:extLst>
                  <a:ext uri="{FF2B5EF4-FFF2-40B4-BE49-F238E27FC236}">
                    <a16:creationId xmlns:a16="http://schemas.microsoft.com/office/drawing/2014/main" id="{00000000-0008-0000-0200-000015000000}"/>
                  </a:ext>
                </a:extLst>
              </xdr:cNvPr>
              <xdr:cNvSpPr txBox="1">
                <a:spLocks noChangeArrowheads="1"/>
              </xdr:cNvSpPr>
            </xdr:nvSpPr>
            <xdr:spPr bwMode="auto">
              <a:xfrm>
                <a:off x="553" y="220"/>
                <a:ext cx="77"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North</a:t>
                </a:r>
              </a:p>
              <a:p>
                <a:pPr algn="l" rtl="0">
                  <a:defRPr sz="1000"/>
                </a:pPr>
                <a:endParaRPr lang="en-US" sz="1000" b="0" i="0" strike="noStrike">
                  <a:solidFill>
                    <a:srgbClr val="000000"/>
                  </a:solidFill>
                  <a:latin typeface="Arial"/>
                  <a:cs typeface="Arial"/>
                </a:endParaRPr>
              </a:p>
            </xdr:txBody>
          </xdr:sp>
        </xdr:grpSp>
        <xdr:sp macro="" textlink="">
          <xdr:nvSpPr>
            <xdr:cNvPr id="7" name="Line 17">
              <a:extLst>
                <a:ext uri="{FF2B5EF4-FFF2-40B4-BE49-F238E27FC236}">
                  <a16:creationId xmlns:a16="http://schemas.microsoft.com/office/drawing/2014/main" id="{00000000-0008-0000-0200-000007000000}"/>
                </a:ext>
              </a:extLst>
            </xdr:cNvPr>
            <xdr:cNvSpPr>
              <a:spLocks noChangeShapeType="1"/>
            </xdr:cNvSpPr>
          </xdr:nvSpPr>
          <xdr:spPr bwMode="auto">
            <a:xfrm>
              <a:off x="517" y="80"/>
              <a:ext cx="0" cy="129"/>
            </a:xfrm>
            <a:prstGeom prst="line">
              <a:avLst/>
            </a:prstGeom>
            <a:noFill/>
            <a:ln w="57150" cap="rnd">
              <a:solidFill>
                <a:schemeClr val="tx1">
                  <a:lumMod val="85000"/>
                  <a:lumOff val="15000"/>
                </a:schemeClr>
              </a:solidFill>
              <a:prstDash val="solid"/>
              <a:round/>
              <a:headEnd/>
              <a:tailEnd/>
            </a:ln>
          </xdr:spPr>
        </xdr:sp>
      </xdr:grpSp>
      <xdr:sp macro="" textlink="">
        <xdr:nvSpPr>
          <xdr:cNvPr id="5" name="Oval 4">
            <a:extLst>
              <a:ext uri="{FF2B5EF4-FFF2-40B4-BE49-F238E27FC236}">
                <a16:creationId xmlns:a16="http://schemas.microsoft.com/office/drawing/2014/main" id="{00000000-0008-0000-0200-000005000000}"/>
              </a:ext>
            </a:extLst>
          </xdr:cNvPr>
          <xdr:cNvSpPr/>
        </xdr:nvSpPr>
        <xdr:spPr>
          <a:xfrm>
            <a:off x="4210120" y="705365"/>
            <a:ext cx="583064" cy="441239"/>
          </a:xfrm>
          <a:prstGeom prst="ellipse">
            <a:avLst/>
          </a:prstGeom>
          <a:gradFill flip="none" rotWithShape="1">
            <a:gsLst>
              <a:gs pos="0">
                <a:schemeClr val="accent3">
                  <a:shade val="30000"/>
                  <a:satMod val="115000"/>
                </a:schemeClr>
              </a:gs>
              <a:gs pos="50000">
                <a:schemeClr val="accent3">
                  <a:shade val="67500"/>
                  <a:satMod val="115000"/>
                </a:schemeClr>
              </a:gs>
              <a:gs pos="100000">
                <a:schemeClr val="accent3">
                  <a:shade val="100000"/>
                  <a:satMod val="115000"/>
                </a:schemeClr>
              </a:gs>
            </a:gsLst>
            <a:lin ang="16200000" scaled="1"/>
            <a:tileRect/>
          </a:gradFill>
          <a:ln w="76200">
            <a:solidFill>
              <a:schemeClr val="tx1">
                <a:lumMod val="85000"/>
                <a:lumOff val="15000"/>
              </a:schemeClr>
            </a:solidFill>
          </a:ln>
        </xdr:spPr>
        <xdr:style>
          <a:lnRef idx="3">
            <a:schemeClr val="lt1"/>
          </a:lnRef>
          <a:fillRef idx="1">
            <a:schemeClr val="accent3"/>
          </a:fillRef>
          <a:effectRef idx="1">
            <a:schemeClr val="accent3"/>
          </a:effectRef>
          <a:fontRef idx="minor">
            <a:schemeClr val="lt1"/>
          </a:fontRef>
        </xdr:style>
        <xdr:txBody>
          <a:bodyPr rtlCol="0" anchor="ctr"/>
          <a:lstStyle/>
          <a:p>
            <a:pPr algn="ctr"/>
            <a:endParaRPr lang="en-US" sz="1100"/>
          </a:p>
        </xdr:txBody>
      </xdr:sp>
    </xdr:grpSp>
    <xdr:clientData/>
  </xdr:twoCellAnchor>
  <xdr:twoCellAnchor>
    <xdr:from>
      <xdr:col>10</xdr:col>
      <xdr:colOff>142875</xdr:colOff>
      <xdr:row>12</xdr:row>
      <xdr:rowOff>180975</xdr:rowOff>
    </xdr:from>
    <xdr:to>
      <xdr:col>12</xdr:col>
      <xdr:colOff>581024</xdr:colOff>
      <xdr:row>17</xdr:row>
      <xdr:rowOff>19050</xdr:rowOff>
    </xdr:to>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6172200" y="2495550"/>
          <a:ext cx="2152649" cy="800100"/>
        </a:xfrm>
        <a:prstGeom prst="wedgeRectCallout">
          <a:avLst>
            <a:gd name="adj1" fmla="val -56736"/>
            <a:gd name="adj2" fmla="val 4226"/>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Peak</a:t>
          </a:r>
          <a:r>
            <a:rPr lang="en-US" sz="1100" b="1" i="1" baseline="0"/>
            <a:t> Hour </a:t>
          </a:r>
          <a:r>
            <a:rPr lang="en-US" sz="1100" b="1" i="1"/>
            <a:t>Volumes into Blue Spaces.  </a:t>
          </a:r>
        </a:p>
        <a:p>
          <a:pPr algn="l"/>
          <a:r>
            <a:rPr lang="en-US" sz="1100" b="1" i="1"/>
            <a:t>See</a:t>
          </a:r>
          <a:r>
            <a:rPr lang="en-US" sz="1100" b="1" i="1" baseline="0"/>
            <a:t> </a:t>
          </a:r>
          <a:r>
            <a:rPr lang="en-US" sz="1100" b="1" i="1" u="sng" baseline="0"/>
            <a:t>Instructions</a:t>
          </a:r>
          <a:r>
            <a:rPr lang="en-US" sz="1100" b="1" i="1" baseline="0"/>
            <a:t> tab for further instructions on volume input.</a:t>
          </a:r>
          <a:endParaRPr lang="en-US" sz="1050" i="1"/>
        </a:p>
      </xdr:txBody>
    </xdr:sp>
    <xdr:clientData/>
  </xdr:twoCellAnchor>
  <xdr:twoCellAnchor>
    <xdr:from>
      <xdr:col>10</xdr:col>
      <xdr:colOff>247650</xdr:colOff>
      <xdr:row>18</xdr:row>
      <xdr:rowOff>85725</xdr:rowOff>
    </xdr:from>
    <xdr:to>
      <xdr:col>12</xdr:col>
      <xdr:colOff>466725</xdr:colOff>
      <xdr:row>21</xdr:row>
      <xdr:rowOff>85725</xdr:rowOff>
    </xdr:to>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6276975" y="3552825"/>
          <a:ext cx="1933575" cy="571500"/>
        </a:xfrm>
        <a:prstGeom prst="wedgeRectCallout">
          <a:avLst>
            <a:gd name="adj1" fmla="val 56784"/>
            <a:gd name="adj2" fmla="val 20650"/>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If the</a:t>
          </a:r>
          <a:r>
            <a:rPr lang="en-US" sz="1050" b="1" i="1" baseline="0"/>
            <a:t> Vehicle Equivalency Factors vary from the defaults, modify them in this table.</a:t>
          </a:r>
          <a:endParaRPr lang="en-US" sz="1050" b="1" i="1"/>
        </a:p>
      </xdr:txBody>
    </xdr:sp>
    <xdr:clientData/>
  </xdr:twoCellAnchor>
  <xdr:twoCellAnchor>
    <xdr:from>
      <xdr:col>10</xdr:col>
      <xdr:colOff>238125</xdr:colOff>
      <xdr:row>27</xdr:row>
      <xdr:rowOff>47625</xdr:rowOff>
    </xdr:from>
    <xdr:to>
      <xdr:col>12</xdr:col>
      <xdr:colOff>400049</xdr:colOff>
      <xdr:row>31</xdr:row>
      <xdr:rowOff>133349</xdr:rowOff>
    </xdr:to>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6267450" y="5238750"/>
          <a:ext cx="1876424" cy="895349"/>
        </a:xfrm>
        <a:prstGeom prst="wedgeRectCallout">
          <a:avLst>
            <a:gd name="adj1" fmla="val -64108"/>
            <a:gd name="adj2" fmla="val -44562"/>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PHF for every approach.</a:t>
          </a:r>
          <a:r>
            <a:rPr lang="en-US" sz="1050" b="1" i="1" baseline="0"/>
            <a:t>  The defaults are:</a:t>
          </a:r>
        </a:p>
        <a:p>
          <a:pPr algn="l"/>
          <a:r>
            <a:rPr lang="en-US" sz="1050" b="1" i="1" baseline="0"/>
            <a:t>Urban Area = .95</a:t>
          </a:r>
        </a:p>
        <a:p>
          <a:pPr algn="l"/>
          <a:r>
            <a:rPr lang="en-US" sz="1050" b="1" i="1" baseline="0"/>
            <a:t>Suburban Area = .92</a:t>
          </a:r>
        </a:p>
        <a:p>
          <a:pPr algn="l"/>
          <a:r>
            <a:rPr lang="en-US" sz="1050" b="1" i="1" baseline="0"/>
            <a:t>Rural Area = .88</a:t>
          </a:r>
        </a:p>
      </xdr:txBody>
    </xdr:sp>
    <xdr:clientData/>
  </xdr:twoCellAnchor>
  <xdr:twoCellAnchor>
    <xdr:from>
      <xdr:col>10</xdr:col>
      <xdr:colOff>152399</xdr:colOff>
      <xdr:row>48</xdr:row>
      <xdr:rowOff>0</xdr:rowOff>
    </xdr:from>
    <xdr:to>
      <xdr:col>13</xdr:col>
      <xdr:colOff>771524</xdr:colOff>
      <xdr:row>63</xdr:row>
      <xdr:rowOff>57150</xdr:rowOff>
    </xdr:to>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6181724" y="8505825"/>
          <a:ext cx="2943225" cy="1019175"/>
        </a:xfrm>
        <a:prstGeom prst="wedgeRectCallout">
          <a:avLst>
            <a:gd name="adj1" fmla="val -55190"/>
            <a:gd name="adj2" fmla="val -57944"/>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baseline="0"/>
            <a:t>When an approach </a:t>
          </a:r>
          <a:r>
            <a:rPr lang="en-US" sz="1100" b="1" i="1" baseline="0">
              <a:solidFill>
                <a:srgbClr val="FF0000"/>
              </a:solidFill>
            </a:rPr>
            <a:t>yields an unacceptable</a:t>
          </a:r>
          <a:r>
            <a:rPr lang="en-US" sz="1100" b="1" i="1" baseline="0"/>
            <a:t>  measure of effectiveness result (V/C ratio, Control Delay, or Queue Length):</a:t>
          </a:r>
        </a:p>
        <a:p>
          <a:pPr algn="l"/>
          <a:r>
            <a:rPr lang="en-US" sz="1100" b="1" i="1" baseline="0"/>
            <a:t>-  Consider adding a Right Turn Bypass Lane</a:t>
          </a:r>
        </a:p>
        <a:p>
          <a:pPr algn="l"/>
          <a:r>
            <a:rPr lang="en-US" sz="1100" b="1" i="1" baseline="0"/>
            <a:t>-  Consider analyzing a Mult-lane Roundabout</a:t>
          </a:r>
        </a:p>
        <a:p>
          <a:endParaRPr lang="en-US" sz="1100" b="1" i="1">
            <a:solidFill>
              <a:schemeClr val="dk1"/>
            </a:solidFill>
            <a:latin typeface="+mn-lt"/>
            <a:ea typeface="+mn-ea"/>
            <a:cs typeface="+mn-cs"/>
          </a:endParaRPr>
        </a:p>
        <a:p>
          <a:pPr algn="l"/>
          <a:endParaRPr lang="en-US" sz="1100" b="1" i="1" baseline="0"/>
        </a:p>
      </xdr:txBody>
    </xdr:sp>
    <xdr:clientData/>
  </xdr:twoCellAnchor>
  <xdr:twoCellAnchor>
    <xdr:from>
      <xdr:col>10</xdr:col>
      <xdr:colOff>257174</xdr:colOff>
      <xdr:row>89</xdr:row>
      <xdr:rowOff>85725</xdr:rowOff>
    </xdr:from>
    <xdr:to>
      <xdr:col>13</xdr:col>
      <xdr:colOff>723900</xdr:colOff>
      <xdr:row>91</xdr:row>
      <xdr:rowOff>85725</xdr:rowOff>
    </xdr:to>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6286499" y="12458700"/>
          <a:ext cx="2790826" cy="428625"/>
        </a:xfrm>
        <a:prstGeom prst="wedgeRectCallout">
          <a:avLst>
            <a:gd name="adj1" fmla="val -59299"/>
            <a:gd name="adj2" fmla="val -4400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Right Turn Volume from the Entry Leg and remove the RT Volume above.</a:t>
          </a:r>
          <a:endParaRPr lang="en-US" sz="1050" i="1"/>
        </a:p>
      </xdr:txBody>
    </xdr:sp>
    <xdr:clientData/>
  </xdr:twoCellAnchor>
  <xdr:twoCellAnchor>
    <xdr:from>
      <xdr:col>10</xdr:col>
      <xdr:colOff>228600</xdr:colOff>
      <xdr:row>85</xdr:row>
      <xdr:rowOff>1</xdr:rowOff>
    </xdr:from>
    <xdr:to>
      <xdr:col>13</xdr:col>
      <xdr:colOff>1066800</xdr:colOff>
      <xdr:row>88</xdr:row>
      <xdr:rowOff>0</xdr:rowOff>
    </xdr:to>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6257925" y="11610976"/>
          <a:ext cx="3162300" cy="571499"/>
        </a:xfrm>
        <a:prstGeom prst="wedgeRectCallout">
          <a:avLst>
            <a:gd name="adj1" fmla="val -58702"/>
            <a:gd name="adj2" fmla="val -333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Entry</a:t>
          </a:r>
          <a:r>
            <a:rPr lang="en-US" sz="1100" b="1" i="1" baseline="0"/>
            <a:t> &amp; Exit Leg for the given bypass from the pulldown button.</a:t>
          </a:r>
        </a:p>
        <a:p>
          <a:pPr algn="l"/>
          <a:r>
            <a:rPr lang="en-US" sz="1100" b="1" i="1" baseline="0"/>
            <a:t>Select if the bypass  has a dedicated receiving lane.</a:t>
          </a:r>
          <a:endParaRPr lang="en-US" sz="1050" i="1"/>
        </a:p>
      </xdr:txBody>
    </xdr:sp>
    <xdr:clientData/>
  </xdr:twoCellAnchor>
  <xdr:twoCellAnchor>
    <xdr:from>
      <xdr:col>10</xdr:col>
      <xdr:colOff>409575</xdr:colOff>
      <xdr:row>97</xdr:row>
      <xdr:rowOff>104777</xdr:rowOff>
    </xdr:from>
    <xdr:to>
      <xdr:col>13</xdr:col>
      <xdr:colOff>800100</xdr:colOff>
      <xdr:row>107</xdr:row>
      <xdr:rowOff>66675</xdr:rowOff>
    </xdr:to>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6438900" y="14068427"/>
          <a:ext cx="2714625" cy="1314448"/>
        </a:xfrm>
        <a:prstGeom prst="wedgeRectCallout">
          <a:avLst>
            <a:gd name="adj1" fmla="val -65745"/>
            <a:gd name="adj2" fmla="val -34110"/>
          </a:avLst>
        </a:prstGeom>
        <a:solidFill>
          <a:schemeClr val="tx2">
            <a:lumMod val="40000"/>
            <a:lumOff val="6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Note:  The</a:t>
          </a:r>
          <a:r>
            <a:rPr lang="en-US" sz="1100" b="1" i="1" baseline="0"/>
            <a:t> bypass lane analysis assumes the merge point is a </a:t>
          </a:r>
          <a:r>
            <a:rPr lang="en-US" sz="1100" b="1" i="1" baseline="0">
              <a:solidFill>
                <a:srgbClr val="C00000"/>
              </a:solidFill>
            </a:rPr>
            <a:t>Yield</a:t>
          </a:r>
          <a:r>
            <a:rPr lang="en-US" sz="1100" b="1" i="1" baseline="0"/>
            <a:t> condition.</a:t>
          </a:r>
        </a:p>
        <a:p>
          <a:pPr algn="l"/>
          <a:endParaRPr lang="en-US" sz="1100" b="1" i="1" baseline="0"/>
        </a:p>
        <a:p>
          <a:pPr algn="l"/>
          <a:r>
            <a:rPr lang="en-US" sz="1100" b="1" i="1" baseline="0"/>
            <a:t>If there is a full receiving lane  allowing freeflow for RT traffic, use engineering judgement to determine the bypass results.</a:t>
          </a:r>
        </a:p>
        <a:p>
          <a:pPr algn="l"/>
          <a:endParaRPr lang="en-US" sz="1100" b="1" i="1" baseline="0"/>
        </a:p>
        <a:p>
          <a:pPr algn="l"/>
          <a:endParaRPr lang="en-US" sz="1050" b="1" i="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219076</xdr:colOff>
      <xdr:row>23</xdr:row>
      <xdr:rowOff>1</xdr:rowOff>
    </xdr:from>
    <xdr:to>
      <xdr:col>12</xdr:col>
      <xdr:colOff>381000</xdr:colOff>
      <xdr:row>26</xdr:row>
      <xdr:rowOff>180975</xdr:rowOff>
    </xdr:to>
    <xdr:sp macro="" textlink="">
      <xdr:nvSpPr>
        <xdr:cNvPr id="19" name="TextBox 18">
          <a:extLst>
            <a:ext uri="{FF2B5EF4-FFF2-40B4-BE49-F238E27FC236}">
              <a16:creationId xmlns:a16="http://schemas.microsoft.com/office/drawing/2014/main" id="{00000000-0008-0000-0300-000013000000}"/>
            </a:ext>
          </a:extLst>
        </xdr:cNvPr>
        <xdr:cNvSpPr txBox="1"/>
      </xdr:nvSpPr>
      <xdr:spPr>
        <a:xfrm>
          <a:off x="6210301" y="4457701"/>
          <a:ext cx="1876424" cy="752474"/>
        </a:xfrm>
        <a:prstGeom prst="wedgeRectCallout">
          <a:avLst>
            <a:gd name="adj1" fmla="val -62585"/>
            <a:gd name="adj2" fmla="val 11815"/>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truck percentages for every approach.  Insert bus and bicycle percentages if available.</a:t>
          </a:r>
          <a:endParaRPr lang="en-US" sz="1050" b="1" i="1"/>
        </a:p>
      </xdr:txBody>
    </xdr:sp>
    <xdr:clientData/>
  </xdr:twoCellAnchor>
  <xdr:twoCellAnchor>
    <xdr:from>
      <xdr:col>6</xdr:col>
      <xdr:colOff>531922</xdr:colOff>
      <xdr:row>0</xdr:row>
      <xdr:rowOff>39596</xdr:rowOff>
    </xdr:from>
    <xdr:to>
      <xdr:col>10</xdr:col>
      <xdr:colOff>142875</xdr:colOff>
      <xdr:row>10</xdr:row>
      <xdr:rowOff>6535</xdr:rowOff>
    </xdr:to>
    <xdr:grpSp>
      <xdr:nvGrpSpPr>
        <xdr:cNvPr id="22" name="Group 21">
          <a:extLst>
            <a:ext uri="{FF2B5EF4-FFF2-40B4-BE49-F238E27FC236}">
              <a16:creationId xmlns:a16="http://schemas.microsoft.com/office/drawing/2014/main" id="{00000000-0008-0000-0300-000016000000}"/>
            </a:ext>
          </a:extLst>
        </xdr:cNvPr>
        <xdr:cNvGrpSpPr/>
      </xdr:nvGrpSpPr>
      <xdr:grpSpPr>
        <a:xfrm>
          <a:off x="4313347" y="39596"/>
          <a:ext cx="1858853" cy="1890989"/>
          <a:chOff x="3384791" y="11270"/>
          <a:chExt cx="2272023" cy="1890240"/>
        </a:xfrm>
      </xdr:grpSpPr>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3384791" y="11270"/>
            <a:ext cx="2272023" cy="1890240"/>
            <a:chOff x="403" y="42"/>
            <a:chExt cx="231" cy="206"/>
          </a:xfrm>
        </xdr:grpSpPr>
        <xdr:grpSp>
          <xdr:nvGrpSpPr>
            <xdr:cNvPr id="3" name="Group 2">
              <a:extLst>
                <a:ext uri="{FF2B5EF4-FFF2-40B4-BE49-F238E27FC236}">
                  <a16:creationId xmlns:a16="http://schemas.microsoft.com/office/drawing/2014/main" id="{00000000-0008-0000-0300-000003000000}"/>
                </a:ext>
              </a:extLst>
            </xdr:cNvPr>
            <xdr:cNvGrpSpPr>
              <a:grpSpLocks/>
            </xdr:cNvGrpSpPr>
          </xdr:nvGrpSpPr>
          <xdr:grpSpPr bwMode="auto">
            <a:xfrm>
              <a:off x="403" y="42"/>
              <a:ext cx="231" cy="206"/>
              <a:chOff x="403" y="42"/>
              <a:chExt cx="231" cy="206"/>
            </a:xfrm>
          </xdr:grpSpPr>
          <xdr:sp macro="" textlink="">
            <xdr:nvSpPr>
              <xdr:cNvPr id="5" name="Rectangle 3">
                <a:extLst>
                  <a:ext uri="{FF2B5EF4-FFF2-40B4-BE49-F238E27FC236}">
                    <a16:creationId xmlns:a16="http://schemas.microsoft.com/office/drawing/2014/main" id="{00000000-0008-0000-0300-000005000000}"/>
                  </a:ext>
                </a:extLst>
              </xdr:cNvPr>
              <xdr:cNvSpPr>
                <a:spLocks noChangeArrowheads="1"/>
              </xdr:cNvSpPr>
            </xdr:nvSpPr>
            <xdr:spPr bwMode="auto">
              <a:xfrm>
                <a:off x="407" y="42"/>
                <a:ext cx="206" cy="201"/>
              </a:xfrm>
              <a:prstGeom prst="rect">
                <a:avLst/>
              </a:prstGeom>
              <a:solidFill>
                <a:srgbClr val="FFFFFF"/>
              </a:solidFill>
              <a:ln w="9525">
                <a:solidFill>
                  <a:srgbClr val="000000"/>
                </a:solidFill>
                <a:miter lim="800000"/>
                <a:headEnd/>
                <a:tailEnd/>
              </a:ln>
            </xdr:spPr>
          </xdr:sp>
          <xdr:sp macro="" textlink="">
            <xdr:nvSpPr>
              <xdr:cNvPr id="6" name="Line 4">
                <a:extLst>
                  <a:ext uri="{FF2B5EF4-FFF2-40B4-BE49-F238E27FC236}">
                    <a16:creationId xmlns:a16="http://schemas.microsoft.com/office/drawing/2014/main" id="{00000000-0008-0000-0300-000006000000}"/>
                  </a:ext>
                </a:extLst>
              </xdr:cNvPr>
              <xdr:cNvSpPr>
                <a:spLocks noChangeShapeType="1"/>
              </xdr:cNvSpPr>
            </xdr:nvSpPr>
            <xdr:spPr bwMode="auto">
              <a:xfrm rot="5400000">
                <a:off x="517" y="72"/>
                <a:ext cx="0" cy="138"/>
              </a:xfrm>
              <a:prstGeom prst="line">
                <a:avLst/>
              </a:prstGeom>
              <a:noFill/>
              <a:ln w="57150" cap="rnd">
                <a:solidFill>
                  <a:schemeClr val="tx1">
                    <a:lumMod val="75000"/>
                    <a:lumOff val="25000"/>
                  </a:schemeClr>
                </a:solidFill>
                <a:prstDash val="solid"/>
                <a:round/>
                <a:headEnd/>
                <a:tailEnd/>
              </a:ln>
            </xdr:spPr>
          </xdr:sp>
          <xdr:sp macro="" textlink="">
            <xdr:nvSpPr>
              <xdr:cNvPr id="7" name="Line 5">
                <a:extLst>
                  <a:ext uri="{FF2B5EF4-FFF2-40B4-BE49-F238E27FC236}">
                    <a16:creationId xmlns:a16="http://schemas.microsoft.com/office/drawing/2014/main" id="{00000000-0008-0000-0300-000007000000}"/>
                  </a:ext>
                </a:extLst>
              </xdr:cNvPr>
              <xdr:cNvSpPr>
                <a:spLocks noChangeShapeType="1"/>
              </xdr:cNvSpPr>
            </xdr:nvSpPr>
            <xdr:spPr bwMode="auto">
              <a:xfrm rot="2835075">
                <a:off x="517" y="72"/>
                <a:ext cx="0" cy="138"/>
              </a:xfrm>
              <a:prstGeom prst="line">
                <a:avLst/>
              </a:prstGeom>
              <a:noFill/>
              <a:ln w="38100" cap="rnd">
                <a:solidFill>
                  <a:srgbClr val="000000"/>
                </a:solidFill>
                <a:prstDash val="solid"/>
                <a:round/>
                <a:headEnd/>
                <a:tailEnd/>
              </a:ln>
            </xdr:spPr>
          </xdr:sp>
          <xdr:sp macro="" textlink="">
            <xdr:nvSpPr>
              <xdr:cNvPr id="8" name="Line 6">
                <a:extLst>
                  <a:ext uri="{FF2B5EF4-FFF2-40B4-BE49-F238E27FC236}">
                    <a16:creationId xmlns:a16="http://schemas.microsoft.com/office/drawing/2014/main" id="{00000000-0008-0000-0300-000008000000}"/>
                  </a:ext>
                </a:extLst>
              </xdr:cNvPr>
              <xdr:cNvSpPr>
                <a:spLocks noChangeShapeType="1"/>
              </xdr:cNvSpPr>
            </xdr:nvSpPr>
            <xdr:spPr bwMode="auto">
              <a:xfrm rot="-2902981">
                <a:off x="517" y="72"/>
                <a:ext cx="0" cy="138"/>
              </a:xfrm>
              <a:prstGeom prst="line">
                <a:avLst/>
              </a:prstGeom>
              <a:noFill/>
              <a:ln w="38100" cap="rnd">
                <a:solidFill>
                  <a:schemeClr val="tx1">
                    <a:lumMod val="85000"/>
                    <a:lumOff val="15000"/>
                  </a:schemeClr>
                </a:solidFill>
                <a:prstDash val="solid"/>
                <a:round/>
                <a:headEnd/>
                <a:tailEnd/>
              </a:ln>
            </xdr:spPr>
          </xdr:sp>
          <xdr:sp macro="" textlink="">
            <xdr:nvSpPr>
              <xdr:cNvPr id="9" name="Text Box 7">
                <a:extLst>
                  <a:ext uri="{FF2B5EF4-FFF2-40B4-BE49-F238E27FC236}">
                    <a16:creationId xmlns:a16="http://schemas.microsoft.com/office/drawing/2014/main" id="{00000000-0008-0000-0300-000009000000}"/>
                  </a:ext>
                </a:extLst>
              </xdr:cNvPr>
              <xdr:cNvSpPr txBox="1">
                <a:spLocks noChangeArrowheads="1"/>
              </xdr:cNvSpPr>
            </xdr:nvSpPr>
            <xdr:spPr bwMode="auto">
              <a:xfrm>
                <a:off x="500" y="56"/>
                <a:ext cx="4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 (1)</a:t>
                </a:r>
              </a:p>
              <a:p>
                <a:pPr algn="l" rtl="0">
                  <a:defRPr sz="1000"/>
                </a:pPr>
                <a:endParaRPr lang="en-US" sz="1000" b="0" i="0" strike="noStrike">
                  <a:solidFill>
                    <a:srgbClr val="000000"/>
                  </a:solidFill>
                  <a:latin typeface="Arial"/>
                  <a:cs typeface="Arial"/>
                </a:endParaRPr>
              </a:p>
            </xdr:txBody>
          </xdr:sp>
          <xdr:sp macro="" textlink="">
            <xdr:nvSpPr>
              <xdr:cNvPr id="10" name="Text Box 8">
                <a:extLst>
                  <a:ext uri="{FF2B5EF4-FFF2-40B4-BE49-F238E27FC236}">
                    <a16:creationId xmlns:a16="http://schemas.microsoft.com/office/drawing/2014/main" id="{00000000-0008-0000-0300-00000A000000}"/>
                  </a:ext>
                </a:extLst>
              </xdr:cNvPr>
              <xdr:cNvSpPr txBox="1">
                <a:spLocks noChangeArrowheads="1"/>
              </xdr:cNvSpPr>
            </xdr:nvSpPr>
            <xdr:spPr bwMode="auto">
              <a:xfrm>
                <a:off x="560" y="188"/>
                <a:ext cx="57"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SE (4)</a:t>
                </a:r>
              </a:p>
              <a:p>
                <a:pPr algn="l" rtl="0">
                  <a:defRPr sz="1000"/>
                </a:pPr>
                <a:endParaRPr lang="en-US" sz="1000" b="0" i="0" strike="noStrike">
                  <a:solidFill>
                    <a:srgbClr val="000000"/>
                  </a:solidFill>
                  <a:latin typeface="Arial"/>
                  <a:cs typeface="Arial"/>
                </a:endParaRPr>
              </a:p>
            </xdr:txBody>
          </xdr:sp>
          <xdr:sp macro="" textlink="">
            <xdr:nvSpPr>
              <xdr:cNvPr id="11" name="Text Box 9">
                <a:extLst>
                  <a:ext uri="{FF2B5EF4-FFF2-40B4-BE49-F238E27FC236}">
                    <a16:creationId xmlns:a16="http://schemas.microsoft.com/office/drawing/2014/main" id="{00000000-0008-0000-0300-00000B000000}"/>
                  </a:ext>
                </a:extLst>
              </xdr:cNvPr>
              <xdr:cNvSpPr txBox="1">
                <a:spLocks noChangeArrowheads="1"/>
              </xdr:cNvSpPr>
            </xdr:nvSpPr>
            <xdr:spPr bwMode="auto">
              <a:xfrm>
                <a:off x="561" y="72"/>
                <a:ext cx="58" cy="26"/>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NE (2)</a:t>
                </a:r>
              </a:p>
              <a:p>
                <a:pPr algn="l" rtl="0">
                  <a:defRPr sz="1000"/>
                </a:pPr>
                <a:endParaRPr lang="en-US" sz="1000" b="0" i="0" strike="noStrike">
                  <a:solidFill>
                    <a:srgbClr val="000000"/>
                  </a:solidFill>
                  <a:latin typeface="Arial"/>
                  <a:cs typeface="Arial"/>
                </a:endParaRPr>
              </a:p>
            </xdr:txBody>
          </xdr:sp>
          <xdr:sp macro="" textlink="">
            <xdr:nvSpPr>
              <xdr:cNvPr id="12" name="Text Box 10">
                <a:extLst>
                  <a:ext uri="{FF2B5EF4-FFF2-40B4-BE49-F238E27FC236}">
                    <a16:creationId xmlns:a16="http://schemas.microsoft.com/office/drawing/2014/main" id="{00000000-0008-0000-0300-00000C000000}"/>
                  </a:ext>
                </a:extLst>
              </xdr:cNvPr>
              <xdr:cNvSpPr txBox="1">
                <a:spLocks noChangeArrowheads="1"/>
              </xdr:cNvSpPr>
            </xdr:nvSpPr>
            <xdr:spPr bwMode="auto">
              <a:xfrm>
                <a:off x="586" y="130"/>
                <a:ext cx="48"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E (3)</a:t>
                </a:r>
              </a:p>
              <a:p>
                <a:pPr algn="l" rtl="0">
                  <a:defRPr sz="1000"/>
                </a:pPr>
                <a:endParaRPr lang="en-US" sz="1000" b="0" i="0" strike="noStrike">
                  <a:solidFill>
                    <a:srgbClr val="000000"/>
                  </a:solidFill>
                  <a:latin typeface="Arial"/>
                  <a:cs typeface="Arial"/>
                </a:endParaRPr>
              </a:p>
            </xdr:txBody>
          </xdr:sp>
          <xdr:sp macro="" textlink="">
            <xdr:nvSpPr>
              <xdr:cNvPr id="13" name="Text Box 11">
                <a:extLst>
                  <a:ext uri="{FF2B5EF4-FFF2-40B4-BE49-F238E27FC236}">
                    <a16:creationId xmlns:a16="http://schemas.microsoft.com/office/drawing/2014/main" id="{00000000-0008-0000-0300-00000D000000}"/>
                  </a:ext>
                </a:extLst>
              </xdr:cNvPr>
              <xdr:cNvSpPr txBox="1">
                <a:spLocks noChangeArrowheads="1"/>
              </xdr:cNvSpPr>
            </xdr:nvSpPr>
            <xdr:spPr bwMode="auto">
              <a:xfrm>
                <a:off x="500" y="208"/>
                <a:ext cx="48" cy="25"/>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 (5)</a:t>
                </a:r>
              </a:p>
              <a:p>
                <a:pPr algn="l" rtl="0">
                  <a:defRPr sz="1000"/>
                </a:pPr>
                <a:endParaRPr lang="en-US" sz="1000" b="0" i="0" strike="noStrike">
                  <a:solidFill>
                    <a:srgbClr val="000000"/>
                  </a:solidFill>
                  <a:latin typeface="Arial"/>
                  <a:cs typeface="Arial"/>
                </a:endParaRPr>
              </a:p>
            </xdr:txBody>
          </xdr:sp>
          <xdr:sp macro="" textlink="">
            <xdr:nvSpPr>
              <xdr:cNvPr id="14" name="Text Box 12">
                <a:extLst>
                  <a:ext uri="{FF2B5EF4-FFF2-40B4-BE49-F238E27FC236}">
                    <a16:creationId xmlns:a16="http://schemas.microsoft.com/office/drawing/2014/main" id="{00000000-0008-0000-0300-00000E000000}"/>
                  </a:ext>
                </a:extLst>
              </xdr:cNvPr>
              <xdr:cNvSpPr txBox="1">
                <a:spLocks noChangeArrowheads="1"/>
              </xdr:cNvSpPr>
            </xdr:nvSpPr>
            <xdr:spPr bwMode="auto">
              <a:xfrm>
                <a:off x="423" y="187"/>
                <a:ext cx="5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SW (6)</a:t>
                </a:r>
              </a:p>
              <a:p>
                <a:pPr algn="l" rtl="0">
                  <a:defRPr sz="1000"/>
                </a:pPr>
                <a:endParaRPr lang="en-US" sz="1000" b="0" i="0" strike="noStrike">
                  <a:solidFill>
                    <a:srgbClr val="000000"/>
                  </a:solidFill>
                  <a:latin typeface="Arial"/>
                  <a:cs typeface="Arial"/>
                </a:endParaRPr>
              </a:p>
            </xdr:txBody>
          </xdr:sp>
          <xdr:sp macro="" textlink="">
            <xdr:nvSpPr>
              <xdr:cNvPr id="15" name="Text Box 13">
                <a:extLst>
                  <a:ext uri="{FF2B5EF4-FFF2-40B4-BE49-F238E27FC236}">
                    <a16:creationId xmlns:a16="http://schemas.microsoft.com/office/drawing/2014/main" id="{00000000-0008-0000-0300-00000F000000}"/>
                  </a:ext>
                </a:extLst>
              </xdr:cNvPr>
              <xdr:cNvSpPr txBox="1">
                <a:spLocks noChangeArrowheads="1"/>
              </xdr:cNvSpPr>
            </xdr:nvSpPr>
            <xdr:spPr bwMode="auto">
              <a:xfrm>
                <a:off x="403" y="130"/>
                <a:ext cx="52"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W (7)</a:t>
                </a:r>
              </a:p>
              <a:p>
                <a:pPr algn="l" rtl="0">
                  <a:defRPr sz="1000"/>
                </a:pPr>
                <a:endParaRPr lang="en-US" sz="1000" b="0" i="0" strike="noStrike">
                  <a:solidFill>
                    <a:srgbClr val="000000"/>
                  </a:solidFill>
                  <a:latin typeface="Arial"/>
                  <a:cs typeface="Arial"/>
                </a:endParaRPr>
              </a:p>
            </xdr:txBody>
          </xdr:sp>
          <xdr:sp macro="" textlink="">
            <xdr:nvSpPr>
              <xdr:cNvPr id="16" name="Text Box 14">
                <a:extLst>
                  <a:ext uri="{FF2B5EF4-FFF2-40B4-BE49-F238E27FC236}">
                    <a16:creationId xmlns:a16="http://schemas.microsoft.com/office/drawing/2014/main" id="{00000000-0008-0000-0300-000010000000}"/>
                  </a:ext>
                </a:extLst>
              </xdr:cNvPr>
              <xdr:cNvSpPr txBox="1">
                <a:spLocks noChangeArrowheads="1"/>
              </xdr:cNvSpPr>
            </xdr:nvSpPr>
            <xdr:spPr bwMode="auto">
              <a:xfrm>
                <a:off x="423" y="68"/>
                <a:ext cx="62"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NW (8)</a:t>
                </a:r>
              </a:p>
              <a:p>
                <a:pPr algn="l" rtl="0">
                  <a:defRPr sz="1000"/>
                </a:pPr>
                <a:endParaRPr lang="en-US" sz="1000" b="0" i="0" strike="noStrike">
                  <a:solidFill>
                    <a:srgbClr val="000000"/>
                  </a:solidFill>
                  <a:latin typeface="Arial"/>
                  <a:cs typeface="Arial"/>
                </a:endParaRPr>
              </a:p>
            </xdr:txBody>
          </xdr:sp>
          <xdr:sp macro="" textlink="">
            <xdr:nvSpPr>
              <xdr:cNvPr id="17" name="AutoShape 15">
                <a:extLst>
                  <a:ext uri="{FF2B5EF4-FFF2-40B4-BE49-F238E27FC236}">
                    <a16:creationId xmlns:a16="http://schemas.microsoft.com/office/drawing/2014/main" id="{00000000-0008-0000-0300-000011000000}"/>
                  </a:ext>
                </a:extLst>
              </xdr:cNvPr>
              <xdr:cNvSpPr>
                <a:spLocks noChangeArrowheads="1"/>
              </xdr:cNvSpPr>
            </xdr:nvSpPr>
            <xdr:spPr bwMode="auto">
              <a:xfrm>
                <a:off x="543" y="216"/>
                <a:ext cx="23" cy="22"/>
              </a:xfrm>
              <a:prstGeom prst="upArrow">
                <a:avLst>
                  <a:gd name="adj1" fmla="val 50000"/>
                  <a:gd name="adj2" fmla="val 25000"/>
                </a:avLst>
              </a:prstGeom>
              <a:solidFill>
                <a:srgbClr val="BBE0E3"/>
              </a:solidFill>
              <a:ln w="9525">
                <a:solidFill>
                  <a:srgbClr val="000000"/>
                </a:solidFill>
                <a:miter lim="800000"/>
                <a:headEnd/>
                <a:tailEnd/>
              </a:ln>
            </xdr:spPr>
          </xdr:sp>
          <xdr:sp macro="" textlink="">
            <xdr:nvSpPr>
              <xdr:cNvPr id="18" name="Text Box 16">
                <a:extLst>
                  <a:ext uri="{FF2B5EF4-FFF2-40B4-BE49-F238E27FC236}">
                    <a16:creationId xmlns:a16="http://schemas.microsoft.com/office/drawing/2014/main" id="{00000000-0008-0000-0300-000012000000}"/>
                  </a:ext>
                </a:extLst>
              </xdr:cNvPr>
              <xdr:cNvSpPr txBox="1">
                <a:spLocks noChangeArrowheads="1"/>
              </xdr:cNvSpPr>
            </xdr:nvSpPr>
            <xdr:spPr bwMode="auto">
              <a:xfrm>
                <a:off x="553" y="220"/>
                <a:ext cx="77"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North</a:t>
                </a:r>
              </a:p>
              <a:p>
                <a:pPr algn="l" rtl="0">
                  <a:defRPr sz="1000"/>
                </a:pPr>
                <a:endParaRPr lang="en-US" sz="1000" b="0" i="0" strike="noStrike">
                  <a:solidFill>
                    <a:srgbClr val="000000"/>
                  </a:solidFill>
                  <a:latin typeface="Arial"/>
                  <a:cs typeface="Arial"/>
                </a:endParaRPr>
              </a:p>
            </xdr:txBody>
          </xdr:sp>
        </xdr:grpSp>
        <xdr:sp macro="" textlink="">
          <xdr:nvSpPr>
            <xdr:cNvPr id="4" name="Line 17">
              <a:extLst>
                <a:ext uri="{FF2B5EF4-FFF2-40B4-BE49-F238E27FC236}">
                  <a16:creationId xmlns:a16="http://schemas.microsoft.com/office/drawing/2014/main" id="{00000000-0008-0000-0300-000004000000}"/>
                </a:ext>
              </a:extLst>
            </xdr:cNvPr>
            <xdr:cNvSpPr>
              <a:spLocks noChangeShapeType="1"/>
            </xdr:cNvSpPr>
          </xdr:nvSpPr>
          <xdr:spPr bwMode="auto">
            <a:xfrm>
              <a:off x="517" y="80"/>
              <a:ext cx="0" cy="129"/>
            </a:xfrm>
            <a:prstGeom prst="line">
              <a:avLst/>
            </a:prstGeom>
            <a:noFill/>
            <a:ln w="57150" cap="rnd">
              <a:solidFill>
                <a:schemeClr val="tx1">
                  <a:lumMod val="85000"/>
                  <a:lumOff val="15000"/>
                </a:schemeClr>
              </a:solidFill>
              <a:prstDash val="solid"/>
              <a:round/>
              <a:headEnd/>
              <a:tailEnd/>
            </a:ln>
          </xdr:spPr>
        </xdr:sp>
      </xdr:grpSp>
      <xdr:sp macro="" textlink="">
        <xdr:nvSpPr>
          <xdr:cNvPr id="20" name="Oval 19">
            <a:extLst>
              <a:ext uri="{FF2B5EF4-FFF2-40B4-BE49-F238E27FC236}">
                <a16:creationId xmlns:a16="http://schemas.microsoft.com/office/drawing/2014/main" id="{00000000-0008-0000-0300-000014000000}"/>
              </a:ext>
            </a:extLst>
          </xdr:cNvPr>
          <xdr:cNvSpPr/>
        </xdr:nvSpPr>
        <xdr:spPr>
          <a:xfrm>
            <a:off x="4210120" y="705365"/>
            <a:ext cx="583064" cy="441239"/>
          </a:xfrm>
          <a:prstGeom prst="ellipse">
            <a:avLst/>
          </a:prstGeom>
          <a:gradFill flip="none" rotWithShape="1">
            <a:gsLst>
              <a:gs pos="0">
                <a:schemeClr val="accent3">
                  <a:shade val="30000"/>
                  <a:satMod val="115000"/>
                </a:schemeClr>
              </a:gs>
              <a:gs pos="50000">
                <a:schemeClr val="accent3">
                  <a:shade val="67500"/>
                  <a:satMod val="115000"/>
                </a:schemeClr>
              </a:gs>
              <a:gs pos="100000">
                <a:schemeClr val="accent3">
                  <a:shade val="100000"/>
                  <a:satMod val="115000"/>
                </a:schemeClr>
              </a:gs>
            </a:gsLst>
            <a:lin ang="16200000" scaled="1"/>
            <a:tileRect/>
          </a:gradFill>
          <a:ln w="76200">
            <a:solidFill>
              <a:schemeClr val="tx1">
                <a:lumMod val="85000"/>
                <a:lumOff val="15000"/>
              </a:schemeClr>
            </a:solidFill>
          </a:ln>
        </xdr:spPr>
        <xdr:style>
          <a:lnRef idx="3">
            <a:schemeClr val="lt1"/>
          </a:lnRef>
          <a:fillRef idx="1">
            <a:schemeClr val="accent3"/>
          </a:fillRef>
          <a:effectRef idx="1">
            <a:schemeClr val="accent3"/>
          </a:effectRef>
          <a:fontRef idx="minor">
            <a:schemeClr val="lt1"/>
          </a:fontRef>
        </xdr:style>
        <xdr:txBody>
          <a:bodyPr rtlCol="0" anchor="ctr"/>
          <a:lstStyle/>
          <a:p>
            <a:pPr algn="ctr"/>
            <a:endParaRPr lang="en-US" sz="1100"/>
          </a:p>
        </xdr:txBody>
      </xdr:sp>
    </xdr:grpSp>
    <xdr:clientData/>
  </xdr:twoCellAnchor>
  <xdr:twoCellAnchor>
    <xdr:from>
      <xdr:col>10</xdr:col>
      <xdr:colOff>142875</xdr:colOff>
      <xdr:row>12</xdr:row>
      <xdr:rowOff>180975</xdr:rowOff>
    </xdr:from>
    <xdr:to>
      <xdr:col>12</xdr:col>
      <xdr:colOff>581024</xdr:colOff>
      <xdr:row>17</xdr:row>
      <xdr:rowOff>19050</xdr:rowOff>
    </xdr:to>
    <xdr:sp macro="" textlink="">
      <xdr:nvSpPr>
        <xdr:cNvPr id="21" name="TextBox 20">
          <a:extLst>
            <a:ext uri="{FF2B5EF4-FFF2-40B4-BE49-F238E27FC236}">
              <a16:creationId xmlns:a16="http://schemas.microsoft.com/office/drawing/2014/main" id="{00000000-0008-0000-0300-000015000000}"/>
            </a:ext>
          </a:extLst>
        </xdr:cNvPr>
        <xdr:cNvSpPr txBox="1"/>
      </xdr:nvSpPr>
      <xdr:spPr>
        <a:xfrm>
          <a:off x="6153150" y="2505075"/>
          <a:ext cx="2152649" cy="828675"/>
        </a:xfrm>
        <a:prstGeom prst="wedgeRectCallout">
          <a:avLst>
            <a:gd name="adj1" fmla="val -56736"/>
            <a:gd name="adj2" fmla="val 4226"/>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Peak</a:t>
          </a:r>
          <a:r>
            <a:rPr lang="en-US" sz="1100" b="1" i="1" baseline="0"/>
            <a:t> Hour </a:t>
          </a:r>
          <a:r>
            <a:rPr lang="en-US" sz="1100" b="1" i="1"/>
            <a:t>Volumes into Blue Spaces.  </a:t>
          </a:r>
        </a:p>
        <a:p>
          <a:pPr algn="l"/>
          <a:r>
            <a:rPr lang="en-US" sz="1100" b="1" i="1"/>
            <a:t>See</a:t>
          </a:r>
          <a:r>
            <a:rPr lang="en-US" sz="1100" b="1" i="1" baseline="0"/>
            <a:t> </a:t>
          </a:r>
          <a:r>
            <a:rPr lang="en-US" sz="1100" b="1" i="1" u="sng" baseline="0"/>
            <a:t>Instructions</a:t>
          </a:r>
          <a:r>
            <a:rPr lang="en-US" sz="1100" b="1" i="1" baseline="0"/>
            <a:t> tab for further instructions on volume input.</a:t>
          </a:r>
          <a:endParaRPr lang="en-US" sz="1050" i="1"/>
        </a:p>
      </xdr:txBody>
    </xdr:sp>
    <xdr:clientData/>
  </xdr:twoCellAnchor>
  <xdr:twoCellAnchor>
    <xdr:from>
      <xdr:col>10</xdr:col>
      <xdr:colOff>247650</xdr:colOff>
      <xdr:row>18</xdr:row>
      <xdr:rowOff>85725</xdr:rowOff>
    </xdr:from>
    <xdr:to>
      <xdr:col>12</xdr:col>
      <xdr:colOff>466725</xdr:colOff>
      <xdr:row>21</xdr:row>
      <xdr:rowOff>85725</xdr:rowOff>
    </xdr:to>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6238875" y="3590925"/>
          <a:ext cx="1933575" cy="571500"/>
        </a:xfrm>
        <a:prstGeom prst="wedgeRectCallout">
          <a:avLst>
            <a:gd name="adj1" fmla="val 56784"/>
            <a:gd name="adj2" fmla="val 20650"/>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If the</a:t>
          </a:r>
          <a:r>
            <a:rPr lang="en-US" sz="1050" b="1" i="1" baseline="0"/>
            <a:t> Vehicle Equivalency Factors vary from the defaults, modify them in this table.</a:t>
          </a:r>
          <a:endParaRPr lang="en-US" sz="1050" b="1" i="1"/>
        </a:p>
      </xdr:txBody>
    </xdr:sp>
    <xdr:clientData/>
  </xdr:twoCellAnchor>
  <xdr:twoCellAnchor>
    <xdr:from>
      <xdr:col>10</xdr:col>
      <xdr:colOff>238125</xdr:colOff>
      <xdr:row>27</xdr:row>
      <xdr:rowOff>47625</xdr:rowOff>
    </xdr:from>
    <xdr:to>
      <xdr:col>12</xdr:col>
      <xdr:colOff>400049</xdr:colOff>
      <xdr:row>31</xdr:row>
      <xdr:rowOff>133349</xdr:rowOff>
    </xdr:to>
    <xdr:sp macro="" textlink="">
      <xdr:nvSpPr>
        <xdr:cNvPr id="25" name="TextBox 24">
          <a:extLst>
            <a:ext uri="{FF2B5EF4-FFF2-40B4-BE49-F238E27FC236}">
              <a16:creationId xmlns:a16="http://schemas.microsoft.com/office/drawing/2014/main" id="{00000000-0008-0000-0300-000019000000}"/>
            </a:ext>
          </a:extLst>
        </xdr:cNvPr>
        <xdr:cNvSpPr txBox="1"/>
      </xdr:nvSpPr>
      <xdr:spPr>
        <a:xfrm>
          <a:off x="6477000" y="5276850"/>
          <a:ext cx="1876424" cy="895349"/>
        </a:xfrm>
        <a:prstGeom prst="wedgeRectCallout">
          <a:avLst>
            <a:gd name="adj1" fmla="val -64108"/>
            <a:gd name="adj2" fmla="val -44562"/>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PHF for every approach.</a:t>
          </a:r>
          <a:r>
            <a:rPr lang="en-US" sz="1050" b="1" i="1" baseline="0"/>
            <a:t>  The defaults are:</a:t>
          </a:r>
        </a:p>
        <a:p>
          <a:pPr algn="l"/>
          <a:r>
            <a:rPr lang="en-US" sz="1050" b="1" i="1" baseline="0"/>
            <a:t>Urban Area = .95</a:t>
          </a:r>
        </a:p>
        <a:p>
          <a:pPr algn="l"/>
          <a:r>
            <a:rPr lang="en-US" sz="1050" b="1" i="1" baseline="0"/>
            <a:t>Suburban Area = .92</a:t>
          </a:r>
        </a:p>
        <a:p>
          <a:pPr algn="l"/>
          <a:r>
            <a:rPr lang="en-US" sz="1050" b="1" i="1" baseline="0"/>
            <a:t>Rural Area = .88</a:t>
          </a:r>
        </a:p>
      </xdr:txBody>
    </xdr:sp>
    <xdr:clientData/>
  </xdr:twoCellAnchor>
  <xdr:twoCellAnchor>
    <xdr:from>
      <xdr:col>10</xdr:col>
      <xdr:colOff>152399</xdr:colOff>
      <xdr:row>48</xdr:row>
      <xdr:rowOff>0</xdr:rowOff>
    </xdr:from>
    <xdr:to>
      <xdr:col>13</xdr:col>
      <xdr:colOff>771524</xdr:colOff>
      <xdr:row>63</xdr:row>
      <xdr:rowOff>57150</xdr:rowOff>
    </xdr:to>
    <xdr:sp macro="" textlink="">
      <xdr:nvSpPr>
        <xdr:cNvPr id="27" name="TextBox 26">
          <a:extLst>
            <a:ext uri="{FF2B5EF4-FFF2-40B4-BE49-F238E27FC236}">
              <a16:creationId xmlns:a16="http://schemas.microsoft.com/office/drawing/2014/main" id="{00000000-0008-0000-0300-00001B000000}"/>
            </a:ext>
          </a:extLst>
        </xdr:cNvPr>
        <xdr:cNvSpPr txBox="1"/>
      </xdr:nvSpPr>
      <xdr:spPr>
        <a:xfrm>
          <a:off x="6391274" y="8505825"/>
          <a:ext cx="2943225" cy="1019175"/>
        </a:xfrm>
        <a:prstGeom prst="wedgeRectCallout">
          <a:avLst>
            <a:gd name="adj1" fmla="val -55190"/>
            <a:gd name="adj2" fmla="val -57944"/>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baseline="0"/>
            <a:t>When an approach </a:t>
          </a:r>
          <a:r>
            <a:rPr lang="en-US" sz="1100" b="1" i="1" baseline="0">
              <a:solidFill>
                <a:srgbClr val="FF0000"/>
              </a:solidFill>
            </a:rPr>
            <a:t>yields an unacceptable</a:t>
          </a:r>
          <a:r>
            <a:rPr lang="en-US" sz="1100" b="1" i="1" baseline="0"/>
            <a:t>  measure of effectiveness result (V/C ratio, Control Delay, or Queue Length):</a:t>
          </a:r>
        </a:p>
        <a:p>
          <a:pPr algn="l"/>
          <a:r>
            <a:rPr lang="en-US" sz="1100" b="1" i="1" baseline="0"/>
            <a:t>-  Consider adding a Right Turn Bypass Lane</a:t>
          </a:r>
        </a:p>
        <a:p>
          <a:pPr algn="l"/>
          <a:r>
            <a:rPr lang="en-US" sz="1100" b="1" i="1" baseline="0"/>
            <a:t>-  Consider analyzing a Mult-lane Roundabout</a:t>
          </a:r>
        </a:p>
        <a:p>
          <a:endParaRPr lang="en-US" sz="1100" b="1" i="1">
            <a:solidFill>
              <a:schemeClr val="dk1"/>
            </a:solidFill>
            <a:latin typeface="+mn-lt"/>
            <a:ea typeface="+mn-ea"/>
            <a:cs typeface="+mn-cs"/>
          </a:endParaRPr>
        </a:p>
        <a:p>
          <a:pPr algn="l"/>
          <a:endParaRPr lang="en-US" sz="1100" b="1" i="1" baseline="0"/>
        </a:p>
      </xdr:txBody>
    </xdr:sp>
    <xdr:clientData/>
  </xdr:twoCellAnchor>
  <xdr:twoCellAnchor>
    <xdr:from>
      <xdr:col>10</xdr:col>
      <xdr:colOff>257174</xdr:colOff>
      <xdr:row>88</xdr:row>
      <xdr:rowOff>85725</xdr:rowOff>
    </xdr:from>
    <xdr:to>
      <xdr:col>13</xdr:col>
      <xdr:colOff>723900</xdr:colOff>
      <xdr:row>90</xdr:row>
      <xdr:rowOff>85725</xdr:rowOff>
    </xdr:to>
    <xdr:sp macro="" textlink="">
      <xdr:nvSpPr>
        <xdr:cNvPr id="28" name="TextBox 27">
          <a:extLst>
            <a:ext uri="{FF2B5EF4-FFF2-40B4-BE49-F238E27FC236}">
              <a16:creationId xmlns:a16="http://schemas.microsoft.com/office/drawing/2014/main" id="{00000000-0008-0000-0300-00001C000000}"/>
            </a:ext>
          </a:extLst>
        </xdr:cNvPr>
        <xdr:cNvSpPr txBox="1"/>
      </xdr:nvSpPr>
      <xdr:spPr>
        <a:xfrm>
          <a:off x="6267449" y="15039975"/>
          <a:ext cx="2790826" cy="428625"/>
        </a:xfrm>
        <a:prstGeom prst="wedgeRectCallout">
          <a:avLst>
            <a:gd name="adj1" fmla="val -59299"/>
            <a:gd name="adj2" fmla="val -4400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Right Turn Volume from the Entry Leg and remove the RT Volume above.</a:t>
          </a:r>
          <a:endParaRPr lang="en-US" sz="1050" i="1"/>
        </a:p>
      </xdr:txBody>
    </xdr:sp>
    <xdr:clientData/>
  </xdr:twoCellAnchor>
  <xdr:twoCellAnchor>
    <xdr:from>
      <xdr:col>10</xdr:col>
      <xdr:colOff>228600</xdr:colOff>
      <xdr:row>84</xdr:row>
      <xdr:rowOff>1</xdr:rowOff>
    </xdr:from>
    <xdr:to>
      <xdr:col>13</xdr:col>
      <xdr:colOff>1066800</xdr:colOff>
      <xdr:row>87</xdr:row>
      <xdr:rowOff>0</xdr:rowOff>
    </xdr:to>
    <xdr:sp macro="" textlink="">
      <xdr:nvSpPr>
        <xdr:cNvPr id="29" name="TextBox 28">
          <a:extLst>
            <a:ext uri="{FF2B5EF4-FFF2-40B4-BE49-F238E27FC236}">
              <a16:creationId xmlns:a16="http://schemas.microsoft.com/office/drawing/2014/main" id="{00000000-0008-0000-0300-00001D000000}"/>
            </a:ext>
          </a:extLst>
        </xdr:cNvPr>
        <xdr:cNvSpPr txBox="1"/>
      </xdr:nvSpPr>
      <xdr:spPr>
        <a:xfrm>
          <a:off x="6238875" y="14382751"/>
          <a:ext cx="3162300" cy="571499"/>
        </a:xfrm>
        <a:prstGeom prst="wedgeRectCallout">
          <a:avLst>
            <a:gd name="adj1" fmla="val -58702"/>
            <a:gd name="adj2" fmla="val -333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Entry</a:t>
          </a:r>
          <a:r>
            <a:rPr lang="en-US" sz="1100" b="1" i="1" baseline="0"/>
            <a:t> &amp; Exit Leg for the given bypass from the pulldown button.</a:t>
          </a:r>
        </a:p>
        <a:p>
          <a:pPr algn="l"/>
          <a:r>
            <a:rPr lang="en-US" sz="1100" b="1" i="1" baseline="0"/>
            <a:t>Select if the bypass  has a dedicated receiving lane.</a:t>
          </a:r>
          <a:endParaRPr lang="en-US" sz="1050" i="1"/>
        </a:p>
      </xdr:txBody>
    </xdr:sp>
    <xdr:clientData/>
  </xdr:twoCellAnchor>
  <xdr:twoCellAnchor>
    <xdr:from>
      <xdr:col>10</xdr:col>
      <xdr:colOff>409575</xdr:colOff>
      <xdr:row>96</xdr:row>
      <xdr:rowOff>104777</xdr:rowOff>
    </xdr:from>
    <xdr:to>
      <xdr:col>13</xdr:col>
      <xdr:colOff>800100</xdr:colOff>
      <xdr:row>106</xdr:row>
      <xdr:rowOff>66675</xdr:rowOff>
    </xdr:to>
    <xdr:sp macro="" textlink="">
      <xdr:nvSpPr>
        <xdr:cNvPr id="31" name="TextBox 30">
          <a:extLst>
            <a:ext uri="{FF2B5EF4-FFF2-40B4-BE49-F238E27FC236}">
              <a16:creationId xmlns:a16="http://schemas.microsoft.com/office/drawing/2014/main" id="{00000000-0008-0000-0300-00001F000000}"/>
            </a:ext>
          </a:extLst>
        </xdr:cNvPr>
        <xdr:cNvSpPr txBox="1"/>
      </xdr:nvSpPr>
      <xdr:spPr>
        <a:xfrm>
          <a:off x="6419850" y="16306802"/>
          <a:ext cx="2714625" cy="1123948"/>
        </a:xfrm>
        <a:prstGeom prst="wedgeRectCallout">
          <a:avLst>
            <a:gd name="adj1" fmla="val -65745"/>
            <a:gd name="adj2" fmla="val -34110"/>
          </a:avLst>
        </a:prstGeom>
        <a:solidFill>
          <a:schemeClr val="tx2">
            <a:lumMod val="40000"/>
            <a:lumOff val="6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Note:  The</a:t>
          </a:r>
          <a:r>
            <a:rPr lang="en-US" sz="1100" b="1" i="1" baseline="0"/>
            <a:t> bypass lane analysis assumes the merge point is a </a:t>
          </a:r>
          <a:r>
            <a:rPr lang="en-US" sz="1100" b="1" i="1" baseline="0">
              <a:solidFill>
                <a:srgbClr val="C00000"/>
              </a:solidFill>
            </a:rPr>
            <a:t>Yield</a:t>
          </a:r>
          <a:r>
            <a:rPr lang="en-US" sz="1100" b="1" i="1" baseline="0"/>
            <a:t> condition.</a:t>
          </a:r>
        </a:p>
        <a:p>
          <a:pPr algn="l"/>
          <a:endParaRPr lang="en-US" sz="1100" b="1" i="1" baseline="0"/>
        </a:p>
        <a:p>
          <a:pPr algn="l"/>
          <a:r>
            <a:rPr lang="en-US" sz="1100" b="1" i="1" baseline="0"/>
            <a:t>If there is a full receiving lane  allowing freeflow for RT traffic, use engineering judgement to determine the bypass results.</a:t>
          </a:r>
        </a:p>
        <a:p>
          <a:pPr algn="l"/>
          <a:endParaRPr lang="en-US" sz="1100" b="1" i="1" baseline="0"/>
        </a:p>
        <a:p>
          <a:pPr algn="l"/>
          <a:endParaRPr lang="en-US" sz="1050" b="1" i="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238125</xdr:colOff>
      <xdr:row>20</xdr:row>
      <xdr:rowOff>133351</xdr:rowOff>
    </xdr:from>
    <xdr:to>
      <xdr:col>11</xdr:col>
      <xdr:colOff>609600</xdr:colOff>
      <xdr:row>22</xdr:row>
      <xdr:rowOff>133351</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6353175" y="3981451"/>
          <a:ext cx="1533525" cy="381000"/>
        </a:xfrm>
        <a:prstGeom prst="wedgeRectCallout">
          <a:avLst>
            <a:gd name="adj1" fmla="val -66947"/>
            <a:gd name="adj2" fmla="val 174855"/>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endParaRPr lang="en-US" sz="1050" i="1"/>
        </a:p>
      </xdr:txBody>
    </xdr:sp>
    <xdr:clientData/>
  </xdr:twoCellAnchor>
  <xdr:twoCellAnchor>
    <xdr:from>
      <xdr:col>6</xdr:col>
      <xdr:colOff>523984</xdr:colOff>
      <xdr:row>0</xdr:row>
      <xdr:rowOff>9275</xdr:rowOff>
    </xdr:from>
    <xdr:to>
      <xdr:col>10</xdr:col>
      <xdr:colOff>132311</xdr:colOff>
      <xdr:row>10</xdr:row>
      <xdr:rowOff>9775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4448284" y="9275"/>
          <a:ext cx="1818127" cy="1924550"/>
          <a:chOff x="3384790" y="11270"/>
          <a:chExt cx="2291693" cy="1844360"/>
        </a:xfrm>
      </xdr:grpSpPr>
      <xdr:grpSp>
        <xdr:nvGrpSpPr>
          <xdr:cNvPr id="4" name="Group 1">
            <a:extLst>
              <a:ext uri="{FF2B5EF4-FFF2-40B4-BE49-F238E27FC236}">
                <a16:creationId xmlns:a16="http://schemas.microsoft.com/office/drawing/2014/main" id="{00000000-0008-0000-0400-000004000000}"/>
              </a:ext>
            </a:extLst>
          </xdr:cNvPr>
          <xdr:cNvGrpSpPr>
            <a:grpSpLocks/>
          </xdr:cNvGrpSpPr>
        </xdr:nvGrpSpPr>
        <xdr:grpSpPr bwMode="auto">
          <a:xfrm>
            <a:off x="3384790" y="11270"/>
            <a:ext cx="2291693" cy="1844360"/>
            <a:chOff x="403" y="42"/>
            <a:chExt cx="233" cy="201"/>
          </a:xfrm>
        </xdr:grpSpPr>
        <xdr:grpSp>
          <xdr:nvGrpSpPr>
            <xdr:cNvPr id="6" name="Group 2">
              <a:extLst>
                <a:ext uri="{FF2B5EF4-FFF2-40B4-BE49-F238E27FC236}">
                  <a16:creationId xmlns:a16="http://schemas.microsoft.com/office/drawing/2014/main" id="{00000000-0008-0000-0400-000006000000}"/>
                </a:ext>
              </a:extLst>
            </xdr:cNvPr>
            <xdr:cNvGrpSpPr>
              <a:grpSpLocks/>
            </xdr:cNvGrpSpPr>
          </xdr:nvGrpSpPr>
          <xdr:grpSpPr bwMode="auto">
            <a:xfrm>
              <a:off x="403" y="42"/>
              <a:ext cx="233" cy="201"/>
              <a:chOff x="403" y="42"/>
              <a:chExt cx="233" cy="201"/>
            </a:xfrm>
          </xdr:grpSpPr>
          <xdr:sp macro="" textlink="">
            <xdr:nvSpPr>
              <xdr:cNvPr id="8" name="Rectangle 3">
                <a:extLst>
                  <a:ext uri="{FF2B5EF4-FFF2-40B4-BE49-F238E27FC236}">
                    <a16:creationId xmlns:a16="http://schemas.microsoft.com/office/drawing/2014/main" id="{00000000-0008-0000-0400-000008000000}"/>
                  </a:ext>
                </a:extLst>
              </xdr:cNvPr>
              <xdr:cNvSpPr>
                <a:spLocks noChangeArrowheads="1"/>
              </xdr:cNvSpPr>
            </xdr:nvSpPr>
            <xdr:spPr bwMode="auto">
              <a:xfrm>
                <a:off x="410" y="42"/>
                <a:ext cx="208" cy="191"/>
              </a:xfrm>
              <a:prstGeom prst="rect">
                <a:avLst/>
              </a:prstGeom>
              <a:solidFill>
                <a:srgbClr val="FFFFFF"/>
              </a:solidFill>
              <a:ln w="9525">
                <a:solidFill>
                  <a:srgbClr val="000000"/>
                </a:solidFill>
                <a:miter lim="800000"/>
                <a:headEnd/>
                <a:tailEnd/>
              </a:ln>
            </xdr:spPr>
          </xdr:sp>
          <xdr:sp macro="" textlink="">
            <xdr:nvSpPr>
              <xdr:cNvPr id="9" name="Line 4">
                <a:extLst>
                  <a:ext uri="{FF2B5EF4-FFF2-40B4-BE49-F238E27FC236}">
                    <a16:creationId xmlns:a16="http://schemas.microsoft.com/office/drawing/2014/main" id="{00000000-0008-0000-0400-000009000000}"/>
                  </a:ext>
                </a:extLst>
              </xdr:cNvPr>
              <xdr:cNvSpPr>
                <a:spLocks noChangeShapeType="1"/>
              </xdr:cNvSpPr>
            </xdr:nvSpPr>
            <xdr:spPr bwMode="auto">
              <a:xfrm rot="5400000">
                <a:off x="517" y="72"/>
                <a:ext cx="0" cy="138"/>
              </a:xfrm>
              <a:prstGeom prst="line">
                <a:avLst/>
              </a:prstGeom>
              <a:noFill/>
              <a:ln w="57150" cap="rnd">
                <a:solidFill>
                  <a:schemeClr val="tx1">
                    <a:lumMod val="75000"/>
                    <a:lumOff val="25000"/>
                  </a:schemeClr>
                </a:solidFill>
                <a:prstDash val="solid"/>
                <a:round/>
                <a:headEnd/>
                <a:tailEnd/>
              </a:ln>
            </xdr:spPr>
          </xdr:sp>
          <xdr:sp macro="" textlink="">
            <xdr:nvSpPr>
              <xdr:cNvPr id="10" name="Line 5">
                <a:extLst>
                  <a:ext uri="{FF2B5EF4-FFF2-40B4-BE49-F238E27FC236}">
                    <a16:creationId xmlns:a16="http://schemas.microsoft.com/office/drawing/2014/main" id="{00000000-0008-0000-0400-00000A000000}"/>
                  </a:ext>
                </a:extLst>
              </xdr:cNvPr>
              <xdr:cNvSpPr>
                <a:spLocks noChangeShapeType="1"/>
              </xdr:cNvSpPr>
            </xdr:nvSpPr>
            <xdr:spPr bwMode="auto">
              <a:xfrm rot="2835075">
                <a:off x="517" y="72"/>
                <a:ext cx="0" cy="138"/>
              </a:xfrm>
              <a:prstGeom prst="line">
                <a:avLst/>
              </a:prstGeom>
              <a:noFill/>
              <a:ln w="38100" cap="rnd">
                <a:solidFill>
                  <a:srgbClr val="000000"/>
                </a:solidFill>
                <a:prstDash val="solid"/>
                <a:round/>
                <a:headEnd/>
                <a:tailEnd/>
              </a:ln>
            </xdr:spPr>
          </xdr:sp>
          <xdr:sp macro="" textlink="">
            <xdr:nvSpPr>
              <xdr:cNvPr id="11" name="Line 6">
                <a:extLst>
                  <a:ext uri="{FF2B5EF4-FFF2-40B4-BE49-F238E27FC236}">
                    <a16:creationId xmlns:a16="http://schemas.microsoft.com/office/drawing/2014/main" id="{00000000-0008-0000-0400-00000B000000}"/>
                  </a:ext>
                </a:extLst>
              </xdr:cNvPr>
              <xdr:cNvSpPr>
                <a:spLocks noChangeShapeType="1"/>
              </xdr:cNvSpPr>
            </xdr:nvSpPr>
            <xdr:spPr bwMode="auto">
              <a:xfrm rot="-2902981">
                <a:off x="517" y="72"/>
                <a:ext cx="0" cy="138"/>
              </a:xfrm>
              <a:prstGeom prst="line">
                <a:avLst/>
              </a:prstGeom>
              <a:noFill/>
              <a:ln w="38100" cap="rnd">
                <a:solidFill>
                  <a:schemeClr val="tx1">
                    <a:lumMod val="85000"/>
                    <a:lumOff val="15000"/>
                  </a:schemeClr>
                </a:solidFill>
                <a:prstDash val="solid"/>
                <a:round/>
                <a:headEnd/>
                <a:tailEnd/>
              </a:ln>
            </xdr:spPr>
          </xdr:sp>
          <xdr:sp macro="" textlink="">
            <xdr:nvSpPr>
              <xdr:cNvPr id="12" name="Text Box 7">
                <a:extLst>
                  <a:ext uri="{FF2B5EF4-FFF2-40B4-BE49-F238E27FC236}">
                    <a16:creationId xmlns:a16="http://schemas.microsoft.com/office/drawing/2014/main" id="{00000000-0008-0000-0400-00000C000000}"/>
                  </a:ext>
                </a:extLst>
              </xdr:cNvPr>
              <xdr:cNvSpPr txBox="1">
                <a:spLocks noChangeArrowheads="1"/>
              </xdr:cNvSpPr>
            </xdr:nvSpPr>
            <xdr:spPr bwMode="auto">
              <a:xfrm>
                <a:off x="500" y="56"/>
                <a:ext cx="56"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 (1)</a:t>
                </a:r>
              </a:p>
              <a:p>
                <a:pPr algn="l" rtl="0">
                  <a:defRPr sz="1000"/>
                </a:pPr>
                <a:endParaRPr lang="en-US" sz="1000" b="0" i="0" strike="noStrike">
                  <a:solidFill>
                    <a:srgbClr val="000000"/>
                  </a:solidFill>
                  <a:latin typeface="Arial"/>
                  <a:cs typeface="Arial"/>
                </a:endParaRPr>
              </a:p>
            </xdr:txBody>
          </xdr:sp>
          <xdr:sp macro="" textlink="">
            <xdr:nvSpPr>
              <xdr:cNvPr id="13" name="Text Box 8">
                <a:extLst>
                  <a:ext uri="{FF2B5EF4-FFF2-40B4-BE49-F238E27FC236}">
                    <a16:creationId xmlns:a16="http://schemas.microsoft.com/office/drawing/2014/main" id="{00000000-0008-0000-0400-00000D000000}"/>
                  </a:ext>
                </a:extLst>
              </xdr:cNvPr>
              <xdr:cNvSpPr txBox="1">
                <a:spLocks noChangeArrowheads="1"/>
              </xdr:cNvSpPr>
            </xdr:nvSpPr>
            <xdr:spPr bwMode="auto">
              <a:xfrm>
                <a:off x="560" y="188"/>
                <a:ext cx="61"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SE (4)</a:t>
                </a:r>
              </a:p>
              <a:p>
                <a:pPr algn="l" rtl="0">
                  <a:defRPr sz="1000"/>
                </a:pPr>
                <a:endParaRPr lang="en-US" sz="1000" b="0" i="0" strike="noStrike">
                  <a:solidFill>
                    <a:srgbClr val="000000"/>
                  </a:solidFill>
                  <a:latin typeface="Arial"/>
                  <a:cs typeface="Arial"/>
                </a:endParaRPr>
              </a:p>
            </xdr:txBody>
          </xdr:sp>
          <xdr:sp macro="" textlink="">
            <xdr:nvSpPr>
              <xdr:cNvPr id="14" name="Text Box 9">
                <a:extLst>
                  <a:ext uri="{FF2B5EF4-FFF2-40B4-BE49-F238E27FC236}">
                    <a16:creationId xmlns:a16="http://schemas.microsoft.com/office/drawing/2014/main" id="{00000000-0008-0000-0400-00000E000000}"/>
                  </a:ext>
                </a:extLst>
              </xdr:cNvPr>
              <xdr:cNvSpPr txBox="1">
                <a:spLocks noChangeArrowheads="1"/>
              </xdr:cNvSpPr>
            </xdr:nvSpPr>
            <xdr:spPr bwMode="auto">
              <a:xfrm>
                <a:off x="561" y="72"/>
                <a:ext cx="60" cy="26"/>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NE (2)</a:t>
                </a:r>
              </a:p>
              <a:p>
                <a:pPr algn="l" rtl="0">
                  <a:defRPr sz="1000"/>
                </a:pPr>
                <a:endParaRPr lang="en-US" sz="1000" b="0" i="0" strike="noStrike">
                  <a:solidFill>
                    <a:srgbClr val="000000"/>
                  </a:solidFill>
                  <a:latin typeface="Arial"/>
                  <a:cs typeface="Arial"/>
                </a:endParaRPr>
              </a:p>
            </xdr:txBody>
          </xdr:sp>
          <xdr:sp macro="" textlink="">
            <xdr:nvSpPr>
              <xdr:cNvPr id="15" name="Text Box 10">
                <a:extLst>
                  <a:ext uri="{FF2B5EF4-FFF2-40B4-BE49-F238E27FC236}">
                    <a16:creationId xmlns:a16="http://schemas.microsoft.com/office/drawing/2014/main" id="{00000000-0008-0000-0400-00000F000000}"/>
                  </a:ext>
                </a:extLst>
              </xdr:cNvPr>
              <xdr:cNvSpPr txBox="1">
                <a:spLocks noChangeArrowheads="1"/>
              </xdr:cNvSpPr>
            </xdr:nvSpPr>
            <xdr:spPr bwMode="auto">
              <a:xfrm>
                <a:off x="586" y="130"/>
                <a:ext cx="50"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E (3)</a:t>
                </a:r>
              </a:p>
              <a:p>
                <a:pPr algn="l" rtl="0">
                  <a:defRPr sz="1000"/>
                </a:pPr>
                <a:endParaRPr lang="en-US" sz="1000" b="0" i="0" strike="noStrike">
                  <a:solidFill>
                    <a:srgbClr val="000000"/>
                  </a:solidFill>
                  <a:latin typeface="Arial"/>
                  <a:cs typeface="Arial"/>
                </a:endParaRPr>
              </a:p>
            </xdr:txBody>
          </xdr:sp>
          <xdr:sp macro="" textlink="">
            <xdr:nvSpPr>
              <xdr:cNvPr id="16" name="Text Box 11">
                <a:extLst>
                  <a:ext uri="{FF2B5EF4-FFF2-40B4-BE49-F238E27FC236}">
                    <a16:creationId xmlns:a16="http://schemas.microsoft.com/office/drawing/2014/main" id="{00000000-0008-0000-0400-000010000000}"/>
                  </a:ext>
                </a:extLst>
              </xdr:cNvPr>
              <xdr:cNvSpPr txBox="1">
                <a:spLocks noChangeArrowheads="1"/>
              </xdr:cNvSpPr>
            </xdr:nvSpPr>
            <xdr:spPr bwMode="auto">
              <a:xfrm>
                <a:off x="500" y="208"/>
                <a:ext cx="55" cy="25"/>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 (5)</a:t>
                </a:r>
              </a:p>
              <a:p>
                <a:pPr algn="l" rtl="0">
                  <a:defRPr sz="1000"/>
                </a:pPr>
                <a:endParaRPr lang="en-US" sz="1000" b="0" i="0" strike="noStrike">
                  <a:solidFill>
                    <a:srgbClr val="000000"/>
                  </a:solidFill>
                  <a:latin typeface="Arial"/>
                  <a:cs typeface="Arial"/>
                </a:endParaRPr>
              </a:p>
            </xdr:txBody>
          </xdr:sp>
          <xdr:sp macro="" textlink="">
            <xdr:nvSpPr>
              <xdr:cNvPr id="17" name="Text Box 12">
                <a:extLst>
                  <a:ext uri="{FF2B5EF4-FFF2-40B4-BE49-F238E27FC236}">
                    <a16:creationId xmlns:a16="http://schemas.microsoft.com/office/drawing/2014/main" id="{00000000-0008-0000-0400-000011000000}"/>
                  </a:ext>
                </a:extLst>
              </xdr:cNvPr>
              <xdr:cNvSpPr txBox="1">
                <a:spLocks noChangeArrowheads="1"/>
              </xdr:cNvSpPr>
            </xdr:nvSpPr>
            <xdr:spPr bwMode="auto">
              <a:xfrm>
                <a:off x="423" y="187"/>
                <a:ext cx="66"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SW (6)</a:t>
                </a:r>
              </a:p>
              <a:p>
                <a:pPr algn="l" rtl="0">
                  <a:defRPr sz="1000"/>
                </a:pPr>
                <a:endParaRPr lang="en-US" sz="1000" b="0" i="0" strike="noStrike">
                  <a:solidFill>
                    <a:srgbClr val="000000"/>
                  </a:solidFill>
                  <a:latin typeface="Arial"/>
                  <a:cs typeface="Arial"/>
                </a:endParaRPr>
              </a:p>
            </xdr:txBody>
          </xdr:sp>
          <xdr:sp macro="" textlink="">
            <xdr:nvSpPr>
              <xdr:cNvPr id="18" name="Text Box 13">
                <a:extLst>
                  <a:ext uri="{FF2B5EF4-FFF2-40B4-BE49-F238E27FC236}">
                    <a16:creationId xmlns:a16="http://schemas.microsoft.com/office/drawing/2014/main" id="{00000000-0008-0000-0400-000012000000}"/>
                  </a:ext>
                </a:extLst>
              </xdr:cNvPr>
              <xdr:cNvSpPr txBox="1">
                <a:spLocks noChangeArrowheads="1"/>
              </xdr:cNvSpPr>
            </xdr:nvSpPr>
            <xdr:spPr bwMode="auto">
              <a:xfrm>
                <a:off x="403" y="130"/>
                <a:ext cx="57"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W (7)</a:t>
                </a:r>
              </a:p>
              <a:p>
                <a:pPr algn="l" rtl="0">
                  <a:defRPr sz="1000"/>
                </a:pPr>
                <a:endParaRPr lang="en-US" sz="1000" b="0" i="0" strike="noStrike">
                  <a:solidFill>
                    <a:srgbClr val="000000"/>
                  </a:solidFill>
                  <a:latin typeface="Arial"/>
                  <a:cs typeface="Arial"/>
                </a:endParaRPr>
              </a:p>
            </xdr:txBody>
          </xdr:sp>
          <xdr:sp macro="" textlink="">
            <xdr:nvSpPr>
              <xdr:cNvPr id="19" name="Text Box 14">
                <a:extLst>
                  <a:ext uri="{FF2B5EF4-FFF2-40B4-BE49-F238E27FC236}">
                    <a16:creationId xmlns:a16="http://schemas.microsoft.com/office/drawing/2014/main" id="{00000000-0008-0000-0400-000013000000}"/>
                  </a:ext>
                </a:extLst>
              </xdr:cNvPr>
              <xdr:cNvSpPr txBox="1">
                <a:spLocks noChangeArrowheads="1"/>
              </xdr:cNvSpPr>
            </xdr:nvSpPr>
            <xdr:spPr bwMode="auto">
              <a:xfrm>
                <a:off x="423" y="68"/>
                <a:ext cx="71"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NW (8)</a:t>
                </a:r>
              </a:p>
              <a:p>
                <a:pPr algn="l" rtl="0">
                  <a:defRPr sz="1000"/>
                </a:pPr>
                <a:endParaRPr lang="en-US" sz="1000" b="0" i="0" strike="noStrike">
                  <a:solidFill>
                    <a:srgbClr val="000000"/>
                  </a:solidFill>
                  <a:latin typeface="Arial"/>
                  <a:cs typeface="Arial"/>
                </a:endParaRPr>
              </a:p>
            </xdr:txBody>
          </xdr:sp>
          <xdr:sp macro="" textlink="">
            <xdr:nvSpPr>
              <xdr:cNvPr id="21" name="Text Box 16">
                <a:extLst>
                  <a:ext uri="{FF2B5EF4-FFF2-40B4-BE49-F238E27FC236}">
                    <a16:creationId xmlns:a16="http://schemas.microsoft.com/office/drawing/2014/main" id="{00000000-0008-0000-0400-000015000000}"/>
                  </a:ext>
                </a:extLst>
              </xdr:cNvPr>
              <xdr:cNvSpPr txBox="1">
                <a:spLocks noChangeArrowheads="1"/>
              </xdr:cNvSpPr>
            </xdr:nvSpPr>
            <xdr:spPr bwMode="auto">
              <a:xfrm>
                <a:off x="419" y="215"/>
                <a:ext cx="6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North</a:t>
                </a:r>
              </a:p>
              <a:p>
                <a:pPr algn="l" rtl="0">
                  <a:defRPr sz="1000"/>
                </a:pPr>
                <a:endParaRPr lang="en-US" sz="1000" b="0" i="0" strike="noStrike">
                  <a:solidFill>
                    <a:srgbClr val="000000"/>
                  </a:solidFill>
                  <a:latin typeface="Arial"/>
                  <a:cs typeface="Arial"/>
                </a:endParaRPr>
              </a:p>
            </xdr:txBody>
          </xdr:sp>
          <xdr:sp macro="" textlink="">
            <xdr:nvSpPr>
              <xdr:cNvPr id="20" name="AutoShape 15">
                <a:extLst>
                  <a:ext uri="{FF2B5EF4-FFF2-40B4-BE49-F238E27FC236}">
                    <a16:creationId xmlns:a16="http://schemas.microsoft.com/office/drawing/2014/main" id="{00000000-0008-0000-0400-000014000000}"/>
                  </a:ext>
                </a:extLst>
              </xdr:cNvPr>
              <xdr:cNvSpPr>
                <a:spLocks noChangeArrowheads="1"/>
              </xdr:cNvSpPr>
            </xdr:nvSpPr>
            <xdr:spPr bwMode="auto">
              <a:xfrm>
                <a:off x="412" y="217"/>
                <a:ext cx="19" cy="15"/>
              </a:xfrm>
              <a:prstGeom prst="upArrow">
                <a:avLst>
                  <a:gd name="adj1" fmla="val 50000"/>
                  <a:gd name="adj2" fmla="val 25000"/>
                </a:avLst>
              </a:prstGeom>
              <a:solidFill>
                <a:srgbClr val="BBE0E3"/>
              </a:solidFill>
              <a:ln w="9525">
                <a:solidFill>
                  <a:srgbClr val="000000"/>
                </a:solidFill>
                <a:miter lim="800000"/>
                <a:headEnd/>
                <a:tailEnd/>
              </a:ln>
            </xdr:spPr>
          </xdr:sp>
        </xdr:grpSp>
        <xdr:sp macro="" textlink="">
          <xdr:nvSpPr>
            <xdr:cNvPr id="7" name="Line 17">
              <a:extLst>
                <a:ext uri="{FF2B5EF4-FFF2-40B4-BE49-F238E27FC236}">
                  <a16:creationId xmlns:a16="http://schemas.microsoft.com/office/drawing/2014/main" id="{00000000-0008-0000-0400-000007000000}"/>
                </a:ext>
              </a:extLst>
            </xdr:cNvPr>
            <xdr:cNvSpPr>
              <a:spLocks noChangeShapeType="1"/>
            </xdr:cNvSpPr>
          </xdr:nvSpPr>
          <xdr:spPr bwMode="auto">
            <a:xfrm>
              <a:off x="517" y="80"/>
              <a:ext cx="0" cy="129"/>
            </a:xfrm>
            <a:prstGeom prst="line">
              <a:avLst/>
            </a:prstGeom>
            <a:noFill/>
            <a:ln w="57150" cap="rnd">
              <a:solidFill>
                <a:schemeClr val="tx1">
                  <a:lumMod val="85000"/>
                  <a:lumOff val="15000"/>
                </a:schemeClr>
              </a:solidFill>
              <a:prstDash val="solid"/>
              <a:round/>
              <a:headEnd/>
              <a:tailEnd/>
            </a:ln>
          </xdr:spPr>
        </xdr:sp>
      </xdr:grpSp>
      <xdr:sp macro="" textlink="">
        <xdr:nvSpPr>
          <xdr:cNvPr id="5" name="Oval 4">
            <a:extLst>
              <a:ext uri="{FF2B5EF4-FFF2-40B4-BE49-F238E27FC236}">
                <a16:creationId xmlns:a16="http://schemas.microsoft.com/office/drawing/2014/main" id="{00000000-0008-0000-0400-000005000000}"/>
              </a:ext>
            </a:extLst>
          </xdr:cNvPr>
          <xdr:cNvSpPr/>
        </xdr:nvSpPr>
        <xdr:spPr>
          <a:xfrm>
            <a:off x="4148317" y="629413"/>
            <a:ext cx="698627" cy="513985"/>
          </a:xfrm>
          <a:prstGeom prst="ellipse">
            <a:avLst/>
          </a:prstGeom>
          <a:gradFill flip="none" rotWithShape="1">
            <a:gsLst>
              <a:gs pos="0">
                <a:schemeClr val="accent3">
                  <a:shade val="30000"/>
                  <a:satMod val="115000"/>
                </a:schemeClr>
              </a:gs>
              <a:gs pos="50000">
                <a:schemeClr val="accent3">
                  <a:shade val="67500"/>
                  <a:satMod val="115000"/>
                </a:schemeClr>
              </a:gs>
              <a:gs pos="100000">
                <a:schemeClr val="accent3">
                  <a:shade val="100000"/>
                  <a:satMod val="115000"/>
                </a:schemeClr>
              </a:gs>
            </a:gsLst>
            <a:lin ang="16200000" scaled="1"/>
            <a:tileRect/>
          </a:gradFill>
          <a:ln w="101600">
            <a:solidFill>
              <a:schemeClr val="tx1">
                <a:lumMod val="85000"/>
                <a:lumOff val="15000"/>
              </a:schemeClr>
            </a:solidFill>
          </a:ln>
        </xdr:spPr>
        <xdr:style>
          <a:lnRef idx="3">
            <a:schemeClr val="lt1"/>
          </a:lnRef>
          <a:fillRef idx="1">
            <a:schemeClr val="accent3"/>
          </a:fillRef>
          <a:effectRef idx="1">
            <a:schemeClr val="accent3"/>
          </a:effectRef>
          <a:fontRef idx="minor">
            <a:schemeClr val="lt1"/>
          </a:fontRef>
        </xdr:style>
        <xdr:txBody>
          <a:bodyPr rtlCol="0" anchor="ctr"/>
          <a:lstStyle/>
          <a:p>
            <a:pPr algn="ctr"/>
            <a:endParaRPr lang="en-US" sz="1100"/>
          </a:p>
        </xdr:txBody>
      </xdr:sp>
    </xdr:grpSp>
    <xdr:clientData/>
  </xdr:twoCellAnchor>
  <xdr:twoCellAnchor>
    <xdr:from>
      <xdr:col>10</xdr:col>
      <xdr:colOff>228601</xdr:colOff>
      <xdr:row>18</xdr:row>
      <xdr:rowOff>133350</xdr:rowOff>
    </xdr:from>
    <xdr:to>
      <xdr:col>11</xdr:col>
      <xdr:colOff>723900</xdr:colOff>
      <xdr:row>23</xdr:row>
      <xdr:rowOff>85725</xdr:rowOff>
    </xdr:to>
    <xdr:sp macro="" textlink="">
      <xdr:nvSpPr>
        <xdr:cNvPr id="23" name="TextBox 22">
          <a:extLst>
            <a:ext uri="{FF2B5EF4-FFF2-40B4-BE49-F238E27FC236}">
              <a16:creationId xmlns:a16="http://schemas.microsoft.com/office/drawing/2014/main" id="{00000000-0008-0000-0400-000017000000}"/>
            </a:ext>
          </a:extLst>
        </xdr:cNvPr>
        <xdr:cNvSpPr txBox="1"/>
      </xdr:nvSpPr>
      <xdr:spPr>
        <a:xfrm>
          <a:off x="6343651" y="3600450"/>
          <a:ext cx="1657349" cy="914400"/>
        </a:xfrm>
        <a:prstGeom prst="wedgeRectCallout">
          <a:avLst>
            <a:gd name="adj1" fmla="val -63841"/>
            <a:gd name="adj2" fmla="val -30877"/>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Volumes into Blue Spaces</a:t>
          </a:r>
          <a:r>
            <a:rPr lang="en-US" sz="1100" b="1" i="1" baseline="0"/>
            <a:t> &amp; Select Lane Configuration.</a:t>
          </a:r>
          <a:endParaRPr lang="en-US" sz="1100" b="1" i="1"/>
        </a:p>
        <a:p>
          <a:pPr algn="l"/>
          <a:r>
            <a:rPr lang="en-US" sz="1100" b="1" i="1"/>
            <a:t>See</a:t>
          </a:r>
          <a:r>
            <a:rPr lang="en-US" sz="1100" b="1" i="1" baseline="0"/>
            <a:t> </a:t>
          </a:r>
          <a:r>
            <a:rPr lang="en-US" sz="1100" b="1" i="1" u="sng" baseline="0"/>
            <a:t>Instructions</a:t>
          </a:r>
          <a:r>
            <a:rPr lang="en-US" sz="1100" b="1" i="1" baseline="0"/>
            <a:t> TAB for inputting the volumes.</a:t>
          </a:r>
          <a:endParaRPr lang="en-US" sz="1050" i="1"/>
        </a:p>
      </xdr:txBody>
    </xdr:sp>
    <xdr:clientData/>
  </xdr:twoCellAnchor>
  <xdr:twoCellAnchor>
    <xdr:from>
      <xdr:col>10</xdr:col>
      <xdr:colOff>257175</xdr:colOff>
      <xdr:row>49</xdr:row>
      <xdr:rowOff>209549</xdr:rowOff>
    </xdr:from>
    <xdr:to>
      <xdr:col>11</xdr:col>
      <xdr:colOff>933451</xdr:colOff>
      <xdr:row>54</xdr:row>
      <xdr:rowOff>161924</xdr:rowOff>
    </xdr:to>
    <xdr:sp macro="" textlink="">
      <xdr:nvSpPr>
        <xdr:cNvPr id="24" name="TextBox 23">
          <a:extLst>
            <a:ext uri="{FF2B5EF4-FFF2-40B4-BE49-F238E27FC236}">
              <a16:creationId xmlns:a16="http://schemas.microsoft.com/office/drawing/2014/main" id="{00000000-0008-0000-0400-000018000000}"/>
            </a:ext>
          </a:extLst>
        </xdr:cNvPr>
        <xdr:cNvSpPr txBox="1"/>
      </xdr:nvSpPr>
      <xdr:spPr>
        <a:xfrm>
          <a:off x="6372225" y="7524749"/>
          <a:ext cx="1838326" cy="942975"/>
        </a:xfrm>
        <a:prstGeom prst="wedgeRectCallout">
          <a:avLst>
            <a:gd name="adj1" fmla="val -63979"/>
            <a:gd name="adj2" fmla="val 35819"/>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truck percentages and PHF for every approach.  Insert bicycle percentages or expected # of pedestrians if available.</a:t>
          </a:r>
          <a:endParaRPr lang="en-US" sz="1050" b="1" i="1"/>
        </a:p>
      </xdr:txBody>
    </xdr:sp>
    <xdr:clientData/>
  </xdr:twoCellAnchor>
  <xdr:twoCellAnchor>
    <xdr:from>
      <xdr:col>10</xdr:col>
      <xdr:colOff>247650</xdr:colOff>
      <xdr:row>60</xdr:row>
      <xdr:rowOff>133350</xdr:rowOff>
    </xdr:from>
    <xdr:to>
      <xdr:col>11</xdr:col>
      <xdr:colOff>1038224</xdr:colOff>
      <xdr:row>65</xdr:row>
      <xdr:rowOff>57150</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a:off x="6381750" y="9572625"/>
          <a:ext cx="1952624" cy="638175"/>
        </a:xfrm>
        <a:prstGeom prst="wedgeRectCallout">
          <a:avLst>
            <a:gd name="adj1" fmla="val 119712"/>
            <a:gd name="adj2" fmla="val -99860"/>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If the</a:t>
          </a:r>
          <a:r>
            <a:rPr lang="en-US" sz="1050" b="1" i="1" baseline="0"/>
            <a:t> Vehicle Equivalency Factors vary from the defaults, modify them in this table.</a:t>
          </a:r>
          <a:endParaRPr lang="en-US" sz="1050" b="1" i="1"/>
        </a:p>
      </xdr:txBody>
    </xdr:sp>
    <xdr:clientData/>
  </xdr:twoCellAnchor>
  <xdr:twoCellAnchor>
    <xdr:from>
      <xdr:col>10</xdr:col>
      <xdr:colOff>276225</xdr:colOff>
      <xdr:row>55</xdr:row>
      <xdr:rowOff>66674</xdr:rowOff>
    </xdr:from>
    <xdr:to>
      <xdr:col>11</xdr:col>
      <xdr:colOff>990599</xdr:colOff>
      <xdr:row>59</xdr:row>
      <xdr:rowOff>142874</xdr:rowOff>
    </xdr:to>
    <xdr:sp macro="" textlink="">
      <xdr:nvSpPr>
        <xdr:cNvPr id="26" name="TextBox 25">
          <a:extLst>
            <a:ext uri="{FF2B5EF4-FFF2-40B4-BE49-F238E27FC236}">
              <a16:creationId xmlns:a16="http://schemas.microsoft.com/office/drawing/2014/main" id="{00000000-0008-0000-0400-00001A000000}"/>
            </a:ext>
          </a:extLst>
        </xdr:cNvPr>
        <xdr:cNvSpPr txBox="1"/>
      </xdr:nvSpPr>
      <xdr:spPr>
        <a:xfrm>
          <a:off x="6410325" y="8572499"/>
          <a:ext cx="1876424" cy="866775"/>
        </a:xfrm>
        <a:prstGeom prst="wedgeRectCallout">
          <a:avLst>
            <a:gd name="adj1" fmla="val -64616"/>
            <a:gd name="adj2" fmla="val -47796"/>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PHF for every approach.</a:t>
          </a:r>
          <a:r>
            <a:rPr lang="en-US" sz="1050" b="1" i="1" baseline="0"/>
            <a:t>  The defaults are:</a:t>
          </a:r>
        </a:p>
        <a:p>
          <a:pPr algn="l"/>
          <a:r>
            <a:rPr lang="en-US" sz="1050" b="1" i="1" baseline="0"/>
            <a:t>Urban Area = .95</a:t>
          </a:r>
        </a:p>
        <a:p>
          <a:pPr algn="l"/>
          <a:r>
            <a:rPr lang="en-US" sz="1050" b="1" i="1" baseline="0"/>
            <a:t>Suburban Area = .92</a:t>
          </a:r>
        </a:p>
        <a:p>
          <a:pPr algn="l"/>
          <a:r>
            <a:rPr lang="en-US" sz="1050" b="1" i="1" baseline="0"/>
            <a:t>Rural Area = .88</a:t>
          </a:r>
        </a:p>
      </xdr:txBody>
    </xdr:sp>
    <xdr:clientData/>
  </xdr:twoCellAnchor>
  <xdr:twoCellAnchor>
    <xdr:from>
      <xdr:col>10</xdr:col>
      <xdr:colOff>190503</xdr:colOff>
      <xdr:row>164</xdr:row>
      <xdr:rowOff>19050</xdr:rowOff>
    </xdr:from>
    <xdr:to>
      <xdr:col>17</xdr:col>
      <xdr:colOff>0</xdr:colOff>
      <xdr:row>173</xdr:row>
      <xdr:rowOff>47625</xdr:rowOff>
    </xdr:to>
    <xdr:sp macro="" textlink="">
      <xdr:nvSpPr>
        <xdr:cNvPr id="27" name="TextBox 26">
          <a:extLst>
            <a:ext uri="{FF2B5EF4-FFF2-40B4-BE49-F238E27FC236}">
              <a16:creationId xmlns:a16="http://schemas.microsoft.com/office/drawing/2014/main" id="{00000000-0008-0000-0400-00001B000000}"/>
            </a:ext>
          </a:extLst>
        </xdr:cNvPr>
        <xdr:cNvSpPr txBox="1"/>
      </xdr:nvSpPr>
      <xdr:spPr>
        <a:xfrm>
          <a:off x="6305553" y="21345525"/>
          <a:ext cx="4752972" cy="2152650"/>
        </a:xfrm>
        <a:prstGeom prst="wedgeRectCallout">
          <a:avLst>
            <a:gd name="adj1" fmla="val -54795"/>
            <a:gd name="adj2" fmla="val -6549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the Exit Leg Input Method to calculate</a:t>
          </a:r>
          <a:r>
            <a:rPr lang="en-US" sz="1100" b="1" i="1" baseline="0"/>
            <a:t> the Conflicting Critical Lane Flow</a:t>
          </a:r>
          <a:r>
            <a:rPr lang="en-US" sz="1100" b="1" i="1"/>
            <a:t>:</a:t>
          </a:r>
        </a:p>
        <a:p>
          <a:pPr algn="l"/>
          <a:r>
            <a:rPr lang="en-US" sz="1100" b="1" i="1" u="sng"/>
            <a:t>Default:</a:t>
          </a:r>
        </a:p>
        <a:p>
          <a:pPr algn="l"/>
          <a:r>
            <a:rPr lang="en-US" sz="1100" b="1" i="1" baseline="0"/>
            <a:t>This yields a conservative value based on the total number of vehicles exiting the roundabout in both lanes.  If the exit approach is two lanes, it could reduce the total number of vehicles exiting by 30% to account for drivers using the right most lane.</a:t>
          </a:r>
        </a:p>
        <a:p>
          <a:pPr algn="l"/>
          <a:r>
            <a:rPr lang="en-US" sz="1100" b="1" i="1" u="sng" baseline="0"/>
            <a:t>HCM:</a:t>
          </a:r>
        </a:p>
        <a:p>
          <a:pPr algn="l"/>
          <a:r>
            <a:rPr lang="en-US" sz="1100" b="1" i="1" u="none" baseline="0"/>
            <a:t>This is the total number of vehicles exiting the the roundabout in both lanes.</a:t>
          </a:r>
        </a:p>
        <a:p>
          <a:pPr algn="l"/>
          <a:r>
            <a:rPr lang="en-US" sz="1100" b="1" i="1" u="sng" baseline="0"/>
            <a:t>Manual:</a:t>
          </a:r>
        </a:p>
        <a:p>
          <a:pPr algn="l"/>
          <a:r>
            <a:rPr lang="en-US" sz="1100" b="1" i="1" baseline="0"/>
            <a:t>User inputs the volumes for each exit lane based on the roundabout lane configuration.  User must manually insert an average peak hour factor and heavy vehicle factor to calculate the flow rate.</a:t>
          </a:r>
          <a:endParaRPr lang="en-US" sz="1050" i="1"/>
        </a:p>
      </xdr:txBody>
    </xdr:sp>
    <xdr:clientData/>
  </xdr:twoCellAnchor>
  <xdr:twoCellAnchor>
    <xdr:from>
      <xdr:col>10</xdr:col>
      <xdr:colOff>495299</xdr:colOff>
      <xdr:row>160</xdr:row>
      <xdr:rowOff>0</xdr:rowOff>
    </xdr:from>
    <xdr:to>
      <xdr:col>16</xdr:col>
      <xdr:colOff>180974</xdr:colOff>
      <xdr:row>162</xdr:row>
      <xdr:rowOff>57150</xdr:rowOff>
    </xdr:to>
    <xdr:sp macro="" textlink="">
      <xdr:nvSpPr>
        <xdr:cNvPr id="28" name="TextBox 27">
          <a:extLst>
            <a:ext uri="{FF2B5EF4-FFF2-40B4-BE49-F238E27FC236}">
              <a16:creationId xmlns:a16="http://schemas.microsoft.com/office/drawing/2014/main" id="{00000000-0008-0000-0400-00001C000000}"/>
            </a:ext>
          </a:extLst>
        </xdr:cNvPr>
        <xdr:cNvSpPr txBox="1"/>
      </xdr:nvSpPr>
      <xdr:spPr>
        <a:xfrm>
          <a:off x="6610349" y="20459700"/>
          <a:ext cx="2752725" cy="438150"/>
        </a:xfrm>
        <a:prstGeom prst="wedgeRectCallout">
          <a:avLst>
            <a:gd name="adj1" fmla="val -67491"/>
            <a:gd name="adj2" fmla="val 11748"/>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Right Turn Volume from the Entry Leg and remove the RT Volume above.</a:t>
          </a:r>
          <a:endParaRPr lang="en-US" sz="1050" i="1"/>
        </a:p>
      </xdr:txBody>
    </xdr:sp>
    <xdr:clientData/>
  </xdr:twoCellAnchor>
  <xdr:twoCellAnchor>
    <xdr:from>
      <xdr:col>10</xdr:col>
      <xdr:colOff>533400</xdr:colOff>
      <xdr:row>154</xdr:row>
      <xdr:rowOff>38100</xdr:rowOff>
    </xdr:from>
    <xdr:to>
      <xdr:col>12</xdr:col>
      <xdr:colOff>371476</xdr:colOff>
      <xdr:row>157</xdr:row>
      <xdr:rowOff>38100</xdr:rowOff>
    </xdr:to>
    <xdr:sp macro="" textlink="">
      <xdr:nvSpPr>
        <xdr:cNvPr id="29" name="TextBox 28">
          <a:extLst>
            <a:ext uri="{FF2B5EF4-FFF2-40B4-BE49-F238E27FC236}">
              <a16:creationId xmlns:a16="http://schemas.microsoft.com/office/drawing/2014/main" id="{00000000-0008-0000-0400-00001D000000}"/>
            </a:ext>
          </a:extLst>
        </xdr:cNvPr>
        <xdr:cNvSpPr txBox="1"/>
      </xdr:nvSpPr>
      <xdr:spPr>
        <a:xfrm>
          <a:off x="6648450" y="19535775"/>
          <a:ext cx="2114551" cy="581025"/>
        </a:xfrm>
        <a:prstGeom prst="wedgeRectCallout">
          <a:avLst>
            <a:gd name="adj1" fmla="val -75688"/>
            <a:gd name="adj2" fmla="val 44378"/>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Entry</a:t>
          </a:r>
          <a:r>
            <a:rPr lang="en-US" sz="1100" b="1" i="1" baseline="0"/>
            <a:t> &amp; Exit Leg for the given bypass from the pulldown button.</a:t>
          </a:r>
          <a:endParaRPr lang="en-US" sz="1050" i="1"/>
        </a:p>
      </xdr:txBody>
    </xdr:sp>
    <xdr:clientData/>
  </xdr:twoCellAnchor>
  <xdr:twoCellAnchor>
    <xdr:from>
      <xdr:col>10</xdr:col>
      <xdr:colOff>285750</xdr:colOff>
      <xdr:row>181</xdr:row>
      <xdr:rowOff>133350</xdr:rowOff>
    </xdr:from>
    <xdr:to>
      <xdr:col>20</xdr:col>
      <xdr:colOff>0</xdr:colOff>
      <xdr:row>207</xdr:row>
      <xdr:rowOff>171450</xdr:rowOff>
    </xdr:to>
    <xdr:grpSp>
      <xdr:nvGrpSpPr>
        <xdr:cNvPr id="30" name="Group 29">
          <a:extLst>
            <a:ext uri="{FF2B5EF4-FFF2-40B4-BE49-F238E27FC236}">
              <a16:creationId xmlns:a16="http://schemas.microsoft.com/office/drawing/2014/main" id="{00000000-0008-0000-0400-00001E000000}"/>
            </a:ext>
          </a:extLst>
        </xdr:cNvPr>
        <xdr:cNvGrpSpPr/>
      </xdr:nvGrpSpPr>
      <xdr:grpSpPr>
        <a:xfrm>
          <a:off x="6419850" y="23241000"/>
          <a:ext cx="6943725" cy="4810125"/>
          <a:chOff x="6191250" y="23241000"/>
          <a:chExt cx="5057775" cy="3629025"/>
        </a:xfrm>
      </xdr:grpSpPr>
      <xdr:pic>
        <xdr:nvPicPr>
          <xdr:cNvPr id="31" name="Picture 130">
            <a:extLst>
              <a:ext uri="{FF2B5EF4-FFF2-40B4-BE49-F238E27FC236}">
                <a16:creationId xmlns:a16="http://schemas.microsoft.com/office/drawing/2014/main" id="{00000000-0008-0000-0400-00001F000000}"/>
              </a:ext>
            </a:extLst>
          </xdr:cNvPr>
          <xdr:cNvPicPr>
            <a:picLocks noChangeAspect="1" noChangeArrowheads="1"/>
          </xdr:cNvPicPr>
        </xdr:nvPicPr>
        <xdr:blipFill>
          <a:blip xmlns:r="http://schemas.openxmlformats.org/officeDocument/2006/relationships" r:embed="rId1" cstate="print"/>
          <a:srcRect l="12497" r="30417" b="43733"/>
          <a:stretch>
            <a:fillRect/>
          </a:stretch>
        </xdr:blipFill>
        <xdr:spPr bwMode="auto">
          <a:xfrm>
            <a:off x="6191250" y="23241000"/>
            <a:ext cx="5057775" cy="3629025"/>
          </a:xfrm>
          <a:prstGeom prst="rect">
            <a:avLst/>
          </a:prstGeom>
          <a:noFill/>
          <a:ln w="9525">
            <a:noFill/>
            <a:miter lim="800000"/>
            <a:headEnd/>
            <a:tailEnd/>
          </a:ln>
        </xdr:spPr>
      </xdr:pic>
      <xdr:sp macro="" textlink="">
        <xdr:nvSpPr>
          <xdr:cNvPr id="32" name="TextBox 31">
            <a:extLst>
              <a:ext uri="{FF2B5EF4-FFF2-40B4-BE49-F238E27FC236}">
                <a16:creationId xmlns:a16="http://schemas.microsoft.com/office/drawing/2014/main" id="{00000000-0008-0000-0400-000020000000}"/>
              </a:ext>
            </a:extLst>
          </xdr:cNvPr>
          <xdr:cNvSpPr txBox="1"/>
        </xdr:nvSpPr>
        <xdr:spPr>
          <a:xfrm>
            <a:off x="8429625" y="25898475"/>
            <a:ext cx="1952625"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latin typeface="+mj-lt"/>
              </a:rPr>
              <a:t>Bypass Flow</a:t>
            </a:r>
            <a:r>
              <a:rPr lang="en-US" sz="1100" baseline="0">
                <a:latin typeface="+mj-lt"/>
              </a:rPr>
              <a:t> Merge Point of Analysis (Yield Condition)</a:t>
            </a:r>
            <a:endParaRPr lang="en-US" sz="1100">
              <a:latin typeface="+mj-lt"/>
            </a:endParaRPr>
          </a:p>
        </xdr:txBody>
      </xdr:sp>
    </xdr:grpSp>
    <xdr:clientData/>
  </xdr:twoCellAnchor>
  <xdr:twoCellAnchor>
    <xdr:from>
      <xdr:col>10</xdr:col>
      <xdr:colOff>257177</xdr:colOff>
      <xdr:row>108</xdr:row>
      <xdr:rowOff>180975</xdr:rowOff>
    </xdr:from>
    <xdr:to>
      <xdr:col>15</xdr:col>
      <xdr:colOff>9526</xdr:colOff>
      <xdr:row>112</xdr:row>
      <xdr:rowOff>123825</xdr:rowOff>
    </xdr:to>
    <xdr:sp macro="" textlink="">
      <xdr:nvSpPr>
        <xdr:cNvPr id="33" name="TextBox 32">
          <a:extLst>
            <a:ext uri="{FF2B5EF4-FFF2-40B4-BE49-F238E27FC236}">
              <a16:creationId xmlns:a16="http://schemas.microsoft.com/office/drawing/2014/main" id="{00000000-0008-0000-0400-000021000000}"/>
            </a:ext>
          </a:extLst>
        </xdr:cNvPr>
        <xdr:cNvSpPr txBox="1"/>
      </xdr:nvSpPr>
      <xdr:spPr>
        <a:xfrm>
          <a:off x="6391277" y="12039600"/>
          <a:ext cx="3743324" cy="723900"/>
        </a:xfrm>
        <a:prstGeom prst="wedgeRectCallout">
          <a:avLst>
            <a:gd name="adj1" fmla="val -57621"/>
            <a:gd name="adj2" fmla="val -88397"/>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100" b="1" i="1" baseline="0">
              <a:solidFill>
                <a:schemeClr val="dk1"/>
              </a:solidFill>
              <a:latin typeface="+mn-lt"/>
              <a:ea typeface="+mn-ea"/>
              <a:cs typeface="+mn-cs"/>
            </a:rPr>
            <a:t>When an approach </a:t>
          </a:r>
          <a:r>
            <a:rPr lang="en-US" sz="1100" b="1" i="1" baseline="0">
              <a:solidFill>
                <a:srgbClr val="FF0000"/>
              </a:solidFill>
              <a:latin typeface="+mn-lt"/>
              <a:ea typeface="+mn-ea"/>
              <a:cs typeface="+mn-cs"/>
            </a:rPr>
            <a:t>yields an unacceptable </a:t>
          </a:r>
          <a:r>
            <a:rPr lang="en-US" sz="1100" b="1" i="1" baseline="0">
              <a:solidFill>
                <a:schemeClr val="dk1"/>
              </a:solidFill>
              <a:latin typeface="+mn-lt"/>
              <a:ea typeface="+mn-ea"/>
              <a:cs typeface="+mn-cs"/>
            </a:rPr>
            <a:t> measure of effectiveness (V/C ratio, Control Delay, or Queue Length)</a:t>
          </a:r>
          <a:r>
            <a:rPr lang="en-US" sz="1100" b="1" i="1" baseline="0"/>
            <a:t>:</a:t>
          </a:r>
        </a:p>
        <a:p>
          <a:pPr algn="l"/>
          <a:r>
            <a:rPr lang="en-US" sz="1100" b="1" i="1" baseline="0"/>
            <a:t>-  Consider adding a Right Turn Bypass Lane</a:t>
          </a:r>
        </a:p>
        <a:p>
          <a:pPr algn="l"/>
          <a:endParaRPr lang="en-US" sz="1100" b="1" i="1" baseline="0"/>
        </a:p>
        <a:p>
          <a:pPr algn="l"/>
          <a:endParaRPr lang="en-US" sz="1100" b="1" i="1" baseline="0"/>
        </a:p>
      </xdr:txBody>
    </xdr:sp>
    <xdr:clientData/>
  </xdr:twoCellAnchor>
  <xdr:twoCellAnchor>
    <xdr:from>
      <xdr:col>10</xdr:col>
      <xdr:colOff>190501</xdr:colOff>
      <xdr:row>173</xdr:row>
      <xdr:rowOff>114299</xdr:rowOff>
    </xdr:from>
    <xdr:to>
      <xdr:col>16</xdr:col>
      <xdr:colOff>619125</xdr:colOff>
      <xdr:row>180</xdr:row>
      <xdr:rowOff>9524</xdr:rowOff>
    </xdr:to>
    <xdr:sp macro="" textlink="">
      <xdr:nvSpPr>
        <xdr:cNvPr id="34" name="TextBox 33">
          <a:extLst>
            <a:ext uri="{FF2B5EF4-FFF2-40B4-BE49-F238E27FC236}">
              <a16:creationId xmlns:a16="http://schemas.microsoft.com/office/drawing/2014/main" id="{00000000-0008-0000-0400-000022000000}"/>
            </a:ext>
          </a:extLst>
        </xdr:cNvPr>
        <xdr:cNvSpPr txBox="1"/>
      </xdr:nvSpPr>
      <xdr:spPr>
        <a:xfrm>
          <a:off x="6305551" y="23069549"/>
          <a:ext cx="3495674" cy="1295400"/>
        </a:xfrm>
        <a:prstGeom prst="wedgeRectCallout">
          <a:avLst>
            <a:gd name="adj1" fmla="val -55438"/>
            <a:gd name="adj2" fmla="val 19022"/>
          </a:avLst>
        </a:prstGeom>
        <a:solidFill>
          <a:schemeClr val="tx2">
            <a:lumMod val="40000"/>
            <a:lumOff val="6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100" b="1" i="1"/>
            <a:t>Note:  The </a:t>
          </a:r>
          <a:r>
            <a:rPr lang="en-US" sz="1100" b="1" i="1" baseline="0"/>
            <a:t>bypass lane analysis assumes the merge point is a </a:t>
          </a:r>
          <a:r>
            <a:rPr lang="en-US" sz="1100" b="1" i="1" baseline="0">
              <a:solidFill>
                <a:srgbClr val="C00000"/>
              </a:solidFill>
            </a:rPr>
            <a:t>Yield</a:t>
          </a:r>
          <a:r>
            <a:rPr lang="en-US" sz="1100" b="1" i="1" baseline="0"/>
            <a:t> condition.   </a:t>
          </a:r>
          <a:r>
            <a:rPr lang="en-US" sz="1100" b="1" i="1" baseline="0">
              <a:solidFill>
                <a:schemeClr val="dk1"/>
              </a:solidFill>
              <a:latin typeface="+mn-lt"/>
              <a:ea typeface="+mn-ea"/>
              <a:cs typeface="+mn-cs"/>
            </a:rPr>
            <a:t>(see Reference Diagram Below)</a:t>
          </a:r>
          <a:endParaRPr lang="en-US" sz="1100" b="1" i="1">
            <a:solidFill>
              <a:schemeClr val="dk1"/>
            </a:solidFill>
            <a:latin typeface="+mn-lt"/>
            <a:ea typeface="+mn-ea"/>
            <a:cs typeface="+mn-cs"/>
          </a:endParaRPr>
        </a:p>
        <a:p>
          <a:pPr algn="l"/>
          <a:endParaRPr lang="en-US" sz="1100" b="1" i="1" baseline="0"/>
        </a:p>
        <a:p>
          <a:pPr marL="0" marR="0" indent="0" algn="l" defTabSz="914400" eaLnBrk="1" fontAlgn="auto" latinLnBrk="0" hangingPunct="1">
            <a:lnSpc>
              <a:spcPct val="100000"/>
            </a:lnSpc>
            <a:spcBef>
              <a:spcPts val="0"/>
            </a:spcBef>
            <a:spcAft>
              <a:spcPts val="0"/>
            </a:spcAft>
            <a:buClrTx/>
            <a:buSzTx/>
            <a:buFontTx/>
            <a:buNone/>
            <a:tabLst/>
            <a:defRPr/>
          </a:pPr>
          <a:r>
            <a:rPr lang="en-US" sz="1100" b="1" i="1" baseline="0">
              <a:solidFill>
                <a:schemeClr val="dk1"/>
              </a:solidFill>
              <a:latin typeface="+mn-lt"/>
              <a:ea typeface="+mn-ea"/>
              <a:cs typeface="+mn-cs"/>
            </a:rPr>
            <a:t>If there is a full receiving lane  allowing freeflow for RT traffic, use engineering judgement to determine the bypass results.</a:t>
          </a:r>
          <a:endParaRPr lang="en-US" sz="1100" b="1" i="1" baseline="0"/>
        </a:p>
      </xdr:txBody>
    </xdr:sp>
    <xdr:clientData/>
  </xdr:twoCellAnchor>
  <xdr:twoCellAnchor>
    <xdr:from>
      <xdr:col>10</xdr:col>
      <xdr:colOff>371476</xdr:colOff>
      <xdr:row>180</xdr:row>
      <xdr:rowOff>47626</xdr:rowOff>
    </xdr:from>
    <xdr:to>
      <xdr:col>11</xdr:col>
      <xdr:colOff>657225</xdr:colOff>
      <xdr:row>181</xdr:row>
      <xdr:rowOff>95251</xdr:rowOff>
    </xdr:to>
    <xdr:sp macro="" textlink="">
      <xdr:nvSpPr>
        <xdr:cNvPr id="35" name="TextBox 34">
          <a:extLst>
            <a:ext uri="{FF2B5EF4-FFF2-40B4-BE49-F238E27FC236}">
              <a16:creationId xmlns:a16="http://schemas.microsoft.com/office/drawing/2014/main" id="{00000000-0008-0000-0400-000023000000}"/>
            </a:ext>
          </a:extLst>
        </xdr:cNvPr>
        <xdr:cNvSpPr txBox="1"/>
      </xdr:nvSpPr>
      <xdr:spPr>
        <a:xfrm>
          <a:off x="6486526" y="24403051"/>
          <a:ext cx="1447799" cy="238125"/>
        </a:xfrm>
        <a:prstGeom prst="rect">
          <a:avLst/>
        </a:prstGeom>
        <a:solidFill>
          <a:schemeClr val="accent3">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200" b="1" i="0" u="sng"/>
            <a:t>Reference</a:t>
          </a:r>
          <a:r>
            <a:rPr lang="en-US" sz="1200" b="1" i="0" u="sng" baseline="0"/>
            <a:t> Diagram</a:t>
          </a:r>
          <a:endParaRPr lang="en-US" sz="1100" b="1" i="0" u="sng"/>
        </a:p>
      </xdr:txBody>
    </xdr:sp>
    <xdr:clientData/>
  </xdr:twoCellAnchor>
  <xdr:twoCellAnchor>
    <xdr:from>
      <xdr:col>10</xdr:col>
      <xdr:colOff>238125</xdr:colOff>
      <xdr:row>15</xdr:row>
      <xdr:rowOff>133350</xdr:rowOff>
    </xdr:from>
    <xdr:to>
      <xdr:col>11</xdr:col>
      <xdr:colOff>933450</xdr:colOff>
      <xdr:row>17</xdr:row>
      <xdr:rowOff>161925</xdr:rowOff>
    </xdr:to>
    <xdr:sp macro="" textlink="">
      <xdr:nvSpPr>
        <xdr:cNvPr id="39" name="TextBox 38">
          <a:extLst>
            <a:ext uri="{FF2B5EF4-FFF2-40B4-BE49-F238E27FC236}">
              <a16:creationId xmlns:a16="http://schemas.microsoft.com/office/drawing/2014/main" id="{00000000-0008-0000-0400-000027000000}"/>
            </a:ext>
          </a:extLst>
        </xdr:cNvPr>
        <xdr:cNvSpPr txBox="1"/>
      </xdr:nvSpPr>
      <xdr:spPr>
        <a:xfrm>
          <a:off x="6372225" y="3028950"/>
          <a:ext cx="1857375" cy="409575"/>
        </a:xfrm>
        <a:prstGeom prst="wedgeRectCallout">
          <a:avLst>
            <a:gd name="adj1" fmla="val -63329"/>
            <a:gd name="adj2" fmla="val -196434"/>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lang="en-US" sz="1100" b="1" i="1"/>
            <a:t>Select </a:t>
          </a:r>
          <a:r>
            <a:rPr lang="en-US" sz="1100" b="1" i="1" baseline="0"/>
            <a:t>the Lane Type for each approach. </a:t>
          </a:r>
          <a:endParaRPr lang="en-US" sz="1050" i="1"/>
        </a:p>
      </xdr:txBody>
    </xdr:sp>
    <xdr:clientData/>
  </xdr:twoCellAnchor>
  <xdr:twoCellAnchor>
    <xdr:from>
      <xdr:col>10</xdr:col>
      <xdr:colOff>228599</xdr:colOff>
      <xdr:row>45</xdr:row>
      <xdr:rowOff>142876</xdr:rowOff>
    </xdr:from>
    <xdr:to>
      <xdr:col>11</xdr:col>
      <xdr:colOff>819150</xdr:colOff>
      <xdr:row>49</xdr:row>
      <xdr:rowOff>123825</xdr:rowOff>
    </xdr:to>
    <xdr:sp macro="" textlink="">
      <xdr:nvSpPr>
        <xdr:cNvPr id="36" name="TextBox 35">
          <a:extLst>
            <a:ext uri="{FF2B5EF4-FFF2-40B4-BE49-F238E27FC236}">
              <a16:creationId xmlns:a16="http://schemas.microsoft.com/office/drawing/2014/main" id="{00000000-0008-0000-0400-000024000000}"/>
            </a:ext>
          </a:extLst>
        </xdr:cNvPr>
        <xdr:cNvSpPr txBox="1"/>
      </xdr:nvSpPr>
      <xdr:spPr>
        <a:xfrm>
          <a:off x="6343649" y="6677026"/>
          <a:ext cx="1752601" cy="771524"/>
        </a:xfrm>
        <a:prstGeom prst="wedgeRectCallout">
          <a:avLst>
            <a:gd name="adj1" fmla="val -65066"/>
            <a:gd name="adj2" fmla="val 26244"/>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lang="en-US" sz="1100" b="1" i="1"/>
            <a:t>How many lanes</a:t>
          </a:r>
          <a:r>
            <a:rPr lang="en-US" sz="1100" b="1" i="1" baseline="0"/>
            <a:t> in the roundabout does the approach have to yield to? (Default =2)</a:t>
          </a:r>
          <a:endParaRPr lang="en-US" sz="1050" b="1" i="1"/>
        </a:p>
      </xdr:txBody>
    </xdr:sp>
    <xdr:clientData/>
  </xdr:twoCellAnchor>
  <xdr:twoCellAnchor>
    <xdr:from>
      <xdr:col>10</xdr:col>
      <xdr:colOff>1114424</xdr:colOff>
      <xdr:row>26</xdr:row>
      <xdr:rowOff>66676</xdr:rowOff>
    </xdr:from>
    <xdr:to>
      <xdr:col>12</xdr:col>
      <xdr:colOff>752474</xdr:colOff>
      <xdr:row>30</xdr:row>
      <xdr:rowOff>28576</xdr:rowOff>
    </xdr:to>
    <xdr:sp macro="" textlink="">
      <xdr:nvSpPr>
        <xdr:cNvPr id="37" name="TextBox 36">
          <a:extLst>
            <a:ext uri="{FF2B5EF4-FFF2-40B4-BE49-F238E27FC236}">
              <a16:creationId xmlns:a16="http://schemas.microsoft.com/office/drawing/2014/main" id="{00000000-0008-0000-0400-000025000000}"/>
            </a:ext>
          </a:extLst>
        </xdr:cNvPr>
        <xdr:cNvSpPr txBox="1"/>
      </xdr:nvSpPr>
      <xdr:spPr>
        <a:xfrm>
          <a:off x="7248524" y="5076826"/>
          <a:ext cx="1914525" cy="723900"/>
        </a:xfrm>
        <a:prstGeom prst="wedgeRectCallout">
          <a:avLst>
            <a:gd name="adj1" fmla="val 50553"/>
            <a:gd name="adj2" fmla="val -202388"/>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Use</a:t>
          </a:r>
          <a:r>
            <a:rPr lang="en-US" sz="1050" b="1" i="1" baseline="0"/>
            <a:t> the </a:t>
          </a:r>
          <a:r>
            <a:rPr lang="en-US" sz="1050" b="1" i="1" u="sng" baseline="0"/>
            <a:t>HCM Lane Utilitzation Calculator</a:t>
          </a:r>
          <a:r>
            <a:rPr lang="en-US" sz="1050" b="1" i="1" baseline="0"/>
            <a:t> for assistance in balancing your Volumes for both Lanes.</a:t>
          </a:r>
          <a:endParaRPr lang="en-US" sz="1050" b="1" i="1"/>
        </a:p>
      </xdr:txBody>
    </xdr:sp>
    <xdr:clientData/>
  </xdr:twoCellAnchor>
  <xdr:twoCellAnchor>
    <xdr:from>
      <xdr:col>19</xdr:col>
      <xdr:colOff>114301</xdr:colOff>
      <xdr:row>19</xdr:row>
      <xdr:rowOff>133350</xdr:rowOff>
    </xdr:from>
    <xdr:to>
      <xdr:col>21</xdr:col>
      <xdr:colOff>85725</xdr:colOff>
      <xdr:row>22</xdr:row>
      <xdr:rowOff>114300</xdr:rowOff>
    </xdr:to>
    <xdr:sp macro="" textlink="">
      <xdr:nvSpPr>
        <xdr:cNvPr id="38" name="TextBox 37">
          <a:extLst>
            <a:ext uri="{FF2B5EF4-FFF2-40B4-BE49-F238E27FC236}">
              <a16:creationId xmlns:a16="http://schemas.microsoft.com/office/drawing/2014/main" id="{00000000-0008-0000-0400-000026000000}"/>
            </a:ext>
          </a:extLst>
        </xdr:cNvPr>
        <xdr:cNvSpPr txBox="1"/>
      </xdr:nvSpPr>
      <xdr:spPr>
        <a:xfrm>
          <a:off x="12125326" y="3790950"/>
          <a:ext cx="1628774" cy="552450"/>
        </a:xfrm>
        <a:prstGeom prst="wedgeRectCallout">
          <a:avLst>
            <a:gd name="adj1" fmla="val -55714"/>
            <a:gd name="adj2" fmla="val -57657"/>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050" b="1" i="1"/>
            <a:t>Insert Approach</a:t>
          </a:r>
          <a:r>
            <a:rPr lang="en-US" sz="1050" b="1" i="1" baseline="0"/>
            <a:t> Volumes, then Select Lane Configuration</a:t>
          </a:r>
        </a:p>
      </xdr:txBody>
    </xdr:sp>
    <xdr:clientData/>
  </xdr:twoCellAnchor>
  <xdr:twoCellAnchor>
    <xdr:from>
      <xdr:col>10</xdr:col>
      <xdr:colOff>314324</xdr:colOff>
      <xdr:row>12</xdr:row>
      <xdr:rowOff>47626</xdr:rowOff>
    </xdr:from>
    <xdr:to>
      <xdr:col>13</xdr:col>
      <xdr:colOff>0</xdr:colOff>
      <xdr:row>14</xdr:row>
      <xdr:rowOff>123825</xdr:rowOff>
    </xdr:to>
    <xdr:sp macro="" textlink="">
      <xdr:nvSpPr>
        <xdr:cNvPr id="22" name="TextBox 21">
          <a:extLst>
            <a:ext uri="{FF2B5EF4-FFF2-40B4-BE49-F238E27FC236}">
              <a16:creationId xmlns:a16="http://schemas.microsoft.com/office/drawing/2014/main" id="{00000000-0008-0000-0400-000016000000}"/>
            </a:ext>
          </a:extLst>
        </xdr:cNvPr>
        <xdr:cNvSpPr txBox="1"/>
      </xdr:nvSpPr>
      <xdr:spPr>
        <a:xfrm>
          <a:off x="6448424" y="2362201"/>
          <a:ext cx="2724151" cy="466724"/>
        </a:xfrm>
        <a:prstGeom prst="wedgeRectCallout">
          <a:avLst>
            <a:gd name="adj1" fmla="val -61302"/>
            <a:gd name="adj2" fmla="val -80540"/>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r>
            <a:rPr lang="en-US" sz="1050" b="1" i="1"/>
            <a:t>N1</a:t>
          </a:r>
          <a:r>
            <a:rPr lang="en-US" sz="1050" b="1" i="1" baseline="0"/>
            <a:t> = North Leg Inside Approach Lane</a:t>
          </a:r>
        </a:p>
        <a:p>
          <a:r>
            <a:rPr lang="en-US" sz="1050" b="1" i="1" baseline="0"/>
            <a:t>N2 = North Leg Outside Approach (Curb) Lane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238125</xdr:colOff>
      <xdr:row>20</xdr:row>
      <xdr:rowOff>133351</xdr:rowOff>
    </xdr:from>
    <xdr:to>
      <xdr:col>10</xdr:col>
      <xdr:colOff>609600</xdr:colOff>
      <xdr:row>22</xdr:row>
      <xdr:rowOff>133351</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6353175" y="3981451"/>
          <a:ext cx="1533525" cy="381000"/>
        </a:xfrm>
        <a:prstGeom prst="wedgeRectCallout">
          <a:avLst>
            <a:gd name="adj1" fmla="val -66947"/>
            <a:gd name="adj2" fmla="val 174855"/>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endParaRPr lang="en-US" sz="1050" i="1"/>
        </a:p>
      </xdr:txBody>
    </xdr:sp>
    <xdr:clientData/>
  </xdr:twoCellAnchor>
  <xdr:twoCellAnchor>
    <xdr:from>
      <xdr:col>4</xdr:col>
      <xdr:colOff>104776</xdr:colOff>
      <xdr:row>0</xdr:row>
      <xdr:rowOff>47625</xdr:rowOff>
    </xdr:from>
    <xdr:to>
      <xdr:col>9</xdr:col>
      <xdr:colOff>0</xdr:colOff>
      <xdr:row>9</xdr:row>
      <xdr:rowOff>142875</xdr:rowOff>
    </xdr:to>
    <xdr:grpSp>
      <xdr:nvGrpSpPr>
        <xdr:cNvPr id="3" name="Group 2">
          <a:extLst>
            <a:ext uri="{FF2B5EF4-FFF2-40B4-BE49-F238E27FC236}">
              <a16:creationId xmlns:a16="http://schemas.microsoft.com/office/drawing/2014/main" id="{00000000-0008-0000-0500-000003000000}"/>
            </a:ext>
          </a:extLst>
        </xdr:cNvPr>
        <xdr:cNvGrpSpPr/>
      </xdr:nvGrpSpPr>
      <xdr:grpSpPr>
        <a:xfrm>
          <a:off x="3457576" y="47625"/>
          <a:ext cx="2657474" cy="1828800"/>
          <a:chOff x="3276600" y="57150"/>
          <a:chExt cx="2714625" cy="1752600"/>
        </a:xfrm>
      </xdr:grpSpPr>
      <xdr:grpSp>
        <xdr:nvGrpSpPr>
          <xdr:cNvPr id="4" name="Group 1">
            <a:extLst>
              <a:ext uri="{FF2B5EF4-FFF2-40B4-BE49-F238E27FC236}">
                <a16:creationId xmlns:a16="http://schemas.microsoft.com/office/drawing/2014/main" id="{00000000-0008-0000-0500-000004000000}"/>
              </a:ext>
            </a:extLst>
          </xdr:cNvPr>
          <xdr:cNvGrpSpPr>
            <a:grpSpLocks/>
          </xdr:cNvGrpSpPr>
        </xdr:nvGrpSpPr>
        <xdr:grpSpPr bwMode="auto">
          <a:xfrm>
            <a:off x="3276600" y="57150"/>
            <a:ext cx="2714625" cy="1752600"/>
            <a:chOff x="392" y="47"/>
            <a:chExt cx="276" cy="191"/>
          </a:xfrm>
        </xdr:grpSpPr>
        <xdr:grpSp>
          <xdr:nvGrpSpPr>
            <xdr:cNvPr id="6" name="Group 2">
              <a:extLst>
                <a:ext uri="{FF2B5EF4-FFF2-40B4-BE49-F238E27FC236}">
                  <a16:creationId xmlns:a16="http://schemas.microsoft.com/office/drawing/2014/main" id="{00000000-0008-0000-0500-000006000000}"/>
                </a:ext>
              </a:extLst>
            </xdr:cNvPr>
            <xdr:cNvGrpSpPr>
              <a:grpSpLocks/>
            </xdr:cNvGrpSpPr>
          </xdr:nvGrpSpPr>
          <xdr:grpSpPr bwMode="auto">
            <a:xfrm>
              <a:off x="392" y="47"/>
              <a:ext cx="276" cy="191"/>
              <a:chOff x="392" y="47"/>
              <a:chExt cx="276" cy="191"/>
            </a:xfrm>
          </xdr:grpSpPr>
          <xdr:sp macro="" textlink="">
            <xdr:nvSpPr>
              <xdr:cNvPr id="8" name="Rectangle 3">
                <a:extLst>
                  <a:ext uri="{FF2B5EF4-FFF2-40B4-BE49-F238E27FC236}">
                    <a16:creationId xmlns:a16="http://schemas.microsoft.com/office/drawing/2014/main" id="{00000000-0008-0000-0500-000008000000}"/>
                  </a:ext>
                </a:extLst>
              </xdr:cNvPr>
              <xdr:cNvSpPr>
                <a:spLocks noChangeArrowheads="1"/>
              </xdr:cNvSpPr>
            </xdr:nvSpPr>
            <xdr:spPr bwMode="auto">
              <a:xfrm>
                <a:off x="392" y="47"/>
                <a:ext cx="273" cy="191"/>
              </a:xfrm>
              <a:prstGeom prst="rect">
                <a:avLst/>
              </a:prstGeom>
              <a:solidFill>
                <a:srgbClr val="FFFFFF"/>
              </a:solidFill>
              <a:ln w="9525">
                <a:solidFill>
                  <a:srgbClr val="000000"/>
                </a:solidFill>
                <a:miter lim="800000"/>
                <a:headEnd/>
                <a:tailEnd/>
              </a:ln>
            </xdr:spPr>
          </xdr:sp>
          <xdr:sp macro="" textlink="">
            <xdr:nvSpPr>
              <xdr:cNvPr id="9" name="Line 4">
                <a:extLst>
                  <a:ext uri="{FF2B5EF4-FFF2-40B4-BE49-F238E27FC236}">
                    <a16:creationId xmlns:a16="http://schemas.microsoft.com/office/drawing/2014/main" id="{00000000-0008-0000-0500-000009000000}"/>
                  </a:ext>
                </a:extLst>
              </xdr:cNvPr>
              <xdr:cNvSpPr>
                <a:spLocks noChangeShapeType="1"/>
              </xdr:cNvSpPr>
            </xdr:nvSpPr>
            <xdr:spPr bwMode="auto">
              <a:xfrm rot="5400000">
                <a:off x="517" y="72"/>
                <a:ext cx="0" cy="138"/>
              </a:xfrm>
              <a:prstGeom prst="line">
                <a:avLst/>
              </a:prstGeom>
              <a:noFill/>
              <a:ln w="57150" cap="rnd">
                <a:solidFill>
                  <a:schemeClr val="tx1">
                    <a:lumMod val="75000"/>
                    <a:lumOff val="25000"/>
                  </a:schemeClr>
                </a:solidFill>
                <a:prstDash val="solid"/>
                <a:round/>
                <a:headEnd/>
                <a:tailEnd/>
              </a:ln>
            </xdr:spPr>
          </xdr:sp>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rot="2835075">
                <a:off x="517" y="72"/>
                <a:ext cx="0" cy="138"/>
              </a:xfrm>
              <a:prstGeom prst="line">
                <a:avLst/>
              </a:prstGeom>
              <a:noFill/>
              <a:ln w="38100" cap="rnd">
                <a:solidFill>
                  <a:srgbClr val="000000"/>
                </a:solidFill>
                <a:prstDash val="solid"/>
                <a:round/>
                <a:headEnd/>
                <a:tailEnd/>
              </a:ln>
            </xdr:spPr>
          </xdr:sp>
          <xdr:sp macro="" textlink="">
            <xdr:nvSpPr>
              <xdr:cNvPr id="11" name="Line 6">
                <a:extLst>
                  <a:ext uri="{FF2B5EF4-FFF2-40B4-BE49-F238E27FC236}">
                    <a16:creationId xmlns:a16="http://schemas.microsoft.com/office/drawing/2014/main" id="{00000000-0008-0000-0500-00000B000000}"/>
                  </a:ext>
                </a:extLst>
              </xdr:cNvPr>
              <xdr:cNvSpPr>
                <a:spLocks noChangeShapeType="1"/>
              </xdr:cNvSpPr>
            </xdr:nvSpPr>
            <xdr:spPr bwMode="auto">
              <a:xfrm rot="-2902981">
                <a:off x="517" y="72"/>
                <a:ext cx="0" cy="138"/>
              </a:xfrm>
              <a:prstGeom prst="line">
                <a:avLst/>
              </a:prstGeom>
              <a:noFill/>
              <a:ln w="38100" cap="rnd">
                <a:solidFill>
                  <a:schemeClr val="tx1">
                    <a:lumMod val="85000"/>
                    <a:lumOff val="15000"/>
                  </a:schemeClr>
                </a:solidFill>
                <a:prstDash val="solid"/>
                <a:round/>
                <a:headEnd/>
                <a:tailEnd/>
              </a:ln>
            </xdr:spPr>
          </xdr:sp>
          <xdr:sp macro="" textlink="">
            <xdr:nvSpPr>
              <xdr:cNvPr id="12" name="Text Box 7">
                <a:extLst>
                  <a:ext uri="{FF2B5EF4-FFF2-40B4-BE49-F238E27FC236}">
                    <a16:creationId xmlns:a16="http://schemas.microsoft.com/office/drawing/2014/main" id="{00000000-0008-0000-0500-00000C000000}"/>
                  </a:ext>
                </a:extLst>
              </xdr:cNvPr>
              <xdr:cNvSpPr txBox="1">
                <a:spLocks noChangeArrowheads="1"/>
              </xdr:cNvSpPr>
            </xdr:nvSpPr>
            <xdr:spPr bwMode="auto">
              <a:xfrm>
                <a:off x="500" y="56"/>
                <a:ext cx="56"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 (1)</a:t>
                </a:r>
              </a:p>
              <a:p>
                <a:pPr algn="l" rtl="0">
                  <a:defRPr sz="1000"/>
                </a:pPr>
                <a:endParaRPr lang="en-US" sz="1000" b="0" i="0" strike="noStrike">
                  <a:solidFill>
                    <a:srgbClr val="000000"/>
                  </a:solidFill>
                  <a:latin typeface="Arial"/>
                  <a:cs typeface="Arial"/>
                </a:endParaRPr>
              </a:p>
            </xdr:txBody>
          </xdr:sp>
          <xdr:sp macro="" textlink="">
            <xdr:nvSpPr>
              <xdr:cNvPr id="13" name="Text Box 8">
                <a:extLst>
                  <a:ext uri="{FF2B5EF4-FFF2-40B4-BE49-F238E27FC236}">
                    <a16:creationId xmlns:a16="http://schemas.microsoft.com/office/drawing/2014/main" id="{00000000-0008-0000-0500-00000D000000}"/>
                  </a:ext>
                </a:extLst>
              </xdr:cNvPr>
              <xdr:cNvSpPr txBox="1">
                <a:spLocks noChangeArrowheads="1"/>
              </xdr:cNvSpPr>
            </xdr:nvSpPr>
            <xdr:spPr bwMode="auto">
              <a:xfrm>
                <a:off x="560" y="188"/>
                <a:ext cx="61"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SE (4)</a:t>
                </a:r>
              </a:p>
              <a:p>
                <a:pPr algn="l" rtl="0">
                  <a:defRPr sz="1000"/>
                </a:pPr>
                <a:endParaRPr lang="en-US" sz="1000" b="0" i="0" strike="noStrike">
                  <a:solidFill>
                    <a:srgbClr val="000000"/>
                  </a:solidFill>
                  <a:latin typeface="Arial"/>
                  <a:cs typeface="Arial"/>
                </a:endParaRPr>
              </a:p>
            </xdr:txBody>
          </xdr:sp>
          <xdr:sp macro="" textlink="">
            <xdr:nvSpPr>
              <xdr:cNvPr id="14" name="Text Box 9">
                <a:extLst>
                  <a:ext uri="{FF2B5EF4-FFF2-40B4-BE49-F238E27FC236}">
                    <a16:creationId xmlns:a16="http://schemas.microsoft.com/office/drawing/2014/main" id="{00000000-0008-0000-0500-00000E000000}"/>
                  </a:ext>
                </a:extLst>
              </xdr:cNvPr>
              <xdr:cNvSpPr txBox="1">
                <a:spLocks noChangeArrowheads="1"/>
              </xdr:cNvSpPr>
            </xdr:nvSpPr>
            <xdr:spPr bwMode="auto">
              <a:xfrm>
                <a:off x="561" y="72"/>
                <a:ext cx="60" cy="26"/>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NE (2)</a:t>
                </a:r>
              </a:p>
              <a:p>
                <a:pPr algn="l" rtl="0">
                  <a:defRPr sz="1000"/>
                </a:pPr>
                <a:endParaRPr lang="en-US" sz="1000" b="0" i="0" strike="noStrike">
                  <a:solidFill>
                    <a:srgbClr val="000000"/>
                  </a:solidFill>
                  <a:latin typeface="Arial"/>
                  <a:cs typeface="Arial"/>
                </a:endParaRPr>
              </a:p>
            </xdr:txBody>
          </xdr:sp>
          <xdr:sp macro="" textlink="">
            <xdr:nvSpPr>
              <xdr:cNvPr id="15" name="Text Box 10">
                <a:extLst>
                  <a:ext uri="{FF2B5EF4-FFF2-40B4-BE49-F238E27FC236}">
                    <a16:creationId xmlns:a16="http://schemas.microsoft.com/office/drawing/2014/main" id="{00000000-0008-0000-0500-00000F000000}"/>
                  </a:ext>
                </a:extLst>
              </xdr:cNvPr>
              <xdr:cNvSpPr txBox="1">
                <a:spLocks noChangeArrowheads="1"/>
              </xdr:cNvSpPr>
            </xdr:nvSpPr>
            <xdr:spPr bwMode="auto">
              <a:xfrm>
                <a:off x="586" y="130"/>
                <a:ext cx="50"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E (3)</a:t>
                </a:r>
              </a:p>
              <a:p>
                <a:pPr algn="l" rtl="0">
                  <a:defRPr sz="1000"/>
                </a:pPr>
                <a:endParaRPr lang="en-US" sz="1000" b="0" i="0" strike="noStrike">
                  <a:solidFill>
                    <a:srgbClr val="000000"/>
                  </a:solidFill>
                  <a:latin typeface="Arial"/>
                  <a:cs typeface="Arial"/>
                </a:endParaRPr>
              </a:p>
            </xdr:txBody>
          </xdr:sp>
          <xdr:sp macro="" textlink="">
            <xdr:nvSpPr>
              <xdr:cNvPr id="16" name="Text Box 11">
                <a:extLst>
                  <a:ext uri="{FF2B5EF4-FFF2-40B4-BE49-F238E27FC236}">
                    <a16:creationId xmlns:a16="http://schemas.microsoft.com/office/drawing/2014/main" id="{00000000-0008-0000-0500-000010000000}"/>
                  </a:ext>
                </a:extLst>
              </xdr:cNvPr>
              <xdr:cNvSpPr txBox="1">
                <a:spLocks noChangeArrowheads="1"/>
              </xdr:cNvSpPr>
            </xdr:nvSpPr>
            <xdr:spPr bwMode="auto">
              <a:xfrm>
                <a:off x="500" y="208"/>
                <a:ext cx="55" cy="25"/>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 (5)</a:t>
                </a:r>
              </a:p>
              <a:p>
                <a:pPr algn="l" rtl="0">
                  <a:defRPr sz="1000"/>
                </a:pPr>
                <a:endParaRPr lang="en-US" sz="1000" b="0" i="0" strike="noStrike">
                  <a:solidFill>
                    <a:srgbClr val="000000"/>
                  </a:solidFill>
                  <a:latin typeface="Arial"/>
                  <a:cs typeface="Arial"/>
                </a:endParaRPr>
              </a:p>
            </xdr:txBody>
          </xdr:sp>
          <xdr:sp macro="" textlink="">
            <xdr:nvSpPr>
              <xdr:cNvPr id="17" name="Text Box 12">
                <a:extLst>
                  <a:ext uri="{FF2B5EF4-FFF2-40B4-BE49-F238E27FC236}">
                    <a16:creationId xmlns:a16="http://schemas.microsoft.com/office/drawing/2014/main" id="{00000000-0008-0000-0500-000011000000}"/>
                  </a:ext>
                </a:extLst>
              </xdr:cNvPr>
              <xdr:cNvSpPr txBox="1">
                <a:spLocks noChangeArrowheads="1"/>
              </xdr:cNvSpPr>
            </xdr:nvSpPr>
            <xdr:spPr bwMode="auto">
              <a:xfrm>
                <a:off x="423" y="187"/>
                <a:ext cx="66"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SW (6)</a:t>
                </a:r>
              </a:p>
              <a:p>
                <a:pPr algn="l" rtl="0">
                  <a:defRPr sz="1000"/>
                </a:pPr>
                <a:endParaRPr lang="en-US" sz="1000" b="0" i="0" strike="noStrike">
                  <a:solidFill>
                    <a:srgbClr val="000000"/>
                  </a:solidFill>
                  <a:latin typeface="Arial"/>
                  <a:cs typeface="Arial"/>
                </a:endParaRPr>
              </a:p>
            </xdr:txBody>
          </xdr:sp>
          <xdr:sp macro="" textlink="">
            <xdr:nvSpPr>
              <xdr:cNvPr id="18" name="Text Box 13">
                <a:extLst>
                  <a:ext uri="{FF2B5EF4-FFF2-40B4-BE49-F238E27FC236}">
                    <a16:creationId xmlns:a16="http://schemas.microsoft.com/office/drawing/2014/main" id="{00000000-0008-0000-0500-000012000000}"/>
                  </a:ext>
                </a:extLst>
              </xdr:cNvPr>
              <xdr:cNvSpPr txBox="1">
                <a:spLocks noChangeArrowheads="1"/>
              </xdr:cNvSpPr>
            </xdr:nvSpPr>
            <xdr:spPr bwMode="auto">
              <a:xfrm>
                <a:off x="403" y="130"/>
                <a:ext cx="57"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W (7)</a:t>
                </a:r>
              </a:p>
              <a:p>
                <a:pPr algn="l" rtl="0">
                  <a:defRPr sz="1000"/>
                </a:pPr>
                <a:endParaRPr lang="en-US" sz="1000" b="0" i="0" strike="noStrike">
                  <a:solidFill>
                    <a:srgbClr val="000000"/>
                  </a:solidFill>
                  <a:latin typeface="Arial"/>
                  <a:cs typeface="Arial"/>
                </a:endParaRPr>
              </a:p>
            </xdr:txBody>
          </xdr:sp>
          <xdr:sp macro="" textlink="">
            <xdr:nvSpPr>
              <xdr:cNvPr id="19" name="Text Box 14">
                <a:extLst>
                  <a:ext uri="{FF2B5EF4-FFF2-40B4-BE49-F238E27FC236}">
                    <a16:creationId xmlns:a16="http://schemas.microsoft.com/office/drawing/2014/main" id="{00000000-0008-0000-0500-000013000000}"/>
                  </a:ext>
                </a:extLst>
              </xdr:cNvPr>
              <xdr:cNvSpPr txBox="1">
                <a:spLocks noChangeArrowheads="1"/>
              </xdr:cNvSpPr>
            </xdr:nvSpPr>
            <xdr:spPr bwMode="auto">
              <a:xfrm>
                <a:off x="423" y="68"/>
                <a:ext cx="71"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NW (8)</a:t>
                </a:r>
              </a:p>
              <a:p>
                <a:pPr algn="l" rtl="0">
                  <a:defRPr sz="1000"/>
                </a:pPr>
                <a:endParaRPr lang="en-US" sz="1000" b="0" i="0" strike="noStrike">
                  <a:solidFill>
                    <a:srgbClr val="000000"/>
                  </a:solidFill>
                  <a:latin typeface="Arial"/>
                  <a:cs typeface="Arial"/>
                </a:endParaRPr>
              </a:p>
            </xdr:txBody>
          </xdr:sp>
          <xdr:sp macro="" textlink="">
            <xdr:nvSpPr>
              <xdr:cNvPr id="20" name="AutoShape 15">
                <a:extLst>
                  <a:ext uri="{FF2B5EF4-FFF2-40B4-BE49-F238E27FC236}">
                    <a16:creationId xmlns:a16="http://schemas.microsoft.com/office/drawing/2014/main" id="{00000000-0008-0000-0500-000014000000}"/>
                  </a:ext>
                </a:extLst>
              </xdr:cNvPr>
              <xdr:cNvSpPr>
                <a:spLocks noChangeArrowheads="1"/>
              </xdr:cNvSpPr>
            </xdr:nvSpPr>
            <xdr:spPr bwMode="auto">
              <a:xfrm>
                <a:off x="631" y="183"/>
                <a:ext cx="23" cy="22"/>
              </a:xfrm>
              <a:prstGeom prst="upArrow">
                <a:avLst>
                  <a:gd name="adj1" fmla="val 50000"/>
                  <a:gd name="adj2" fmla="val 25000"/>
                </a:avLst>
              </a:prstGeom>
              <a:solidFill>
                <a:srgbClr val="BBE0E3"/>
              </a:solidFill>
              <a:ln w="9525">
                <a:solidFill>
                  <a:srgbClr val="000000"/>
                </a:solidFill>
                <a:miter lim="800000"/>
                <a:headEnd/>
                <a:tailEnd/>
              </a:ln>
            </xdr:spPr>
          </xdr:sp>
          <xdr:sp macro="" textlink="">
            <xdr:nvSpPr>
              <xdr:cNvPr id="21" name="Text Box 16">
                <a:extLst>
                  <a:ext uri="{FF2B5EF4-FFF2-40B4-BE49-F238E27FC236}">
                    <a16:creationId xmlns:a16="http://schemas.microsoft.com/office/drawing/2014/main" id="{00000000-0008-0000-0500-000015000000}"/>
                  </a:ext>
                </a:extLst>
              </xdr:cNvPr>
              <xdr:cNvSpPr txBox="1">
                <a:spLocks noChangeArrowheads="1"/>
              </xdr:cNvSpPr>
            </xdr:nvSpPr>
            <xdr:spPr bwMode="auto">
              <a:xfrm>
                <a:off x="611" y="205"/>
                <a:ext cx="57"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North</a:t>
                </a:r>
              </a:p>
              <a:p>
                <a:pPr algn="l" rtl="0">
                  <a:defRPr sz="1000"/>
                </a:pPr>
                <a:endParaRPr lang="en-US" sz="1000" b="0" i="0" strike="noStrike">
                  <a:solidFill>
                    <a:srgbClr val="000000"/>
                  </a:solidFill>
                  <a:latin typeface="Arial"/>
                  <a:cs typeface="Arial"/>
                </a:endParaRPr>
              </a:p>
            </xdr:txBody>
          </xdr:sp>
        </xdr:grpSp>
        <xdr:sp macro="" textlink="">
          <xdr:nvSpPr>
            <xdr:cNvPr id="7" name="Line 17">
              <a:extLst>
                <a:ext uri="{FF2B5EF4-FFF2-40B4-BE49-F238E27FC236}">
                  <a16:creationId xmlns:a16="http://schemas.microsoft.com/office/drawing/2014/main" id="{00000000-0008-0000-0500-000007000000}"/>
                </a:ext>
              </a:extLst>
            </xdr:cNvPr>
            <xdr:cNvSpPr>
              <a:spLocks noChangeShapeType="1"/>
            </xdr:cNvSpPr>
          </xdr:nvSpPr>
          <xdr:spPr bwMode="auto">
            <a:xfrm>
              <a:off x="517" y="80"/>
              <a:ext cx="0" cy="129"/>
            </a:xfrm>
            <a:prstGeom prst="line">
              <a:avLst/>
            </a:prstGeom>
            <a:noFill/>
            <a:ln w="57150" cap="rnd">
              <a:solidFill>
                <a:schemeClr val="tx1">
                  <a:lumMod val="85000"/>
                  <a:lumOff val="15000"/>
                </a:schemeClr>
              </a:solidFill>
              <a:prstDash val="solid"/>
              <a:round/>
              <a:headEnd/>
              <a:tailEnd/>
            </a:ln>
          </xdr:spPr>
        </xdr:sp>
      </xdr:grpSp>
      <xdr:sp macro="" textlink="">
        <xdr:nvSpPr>
          <xdr:cNvPr id="5" name="Oval 4">
            <a:extLst>
              <a:ext uri="{FF2B5EF4-FFF2-40B4-BE49-F238E27FC236}">
                <a16:creationId xmlns:a16="http://schemas.microsoft.com/office/drawing/2014/main" id="{00000000-0008-0000-0500-000005000000}"/>
              </a:ext>
            </a:extLst>
          </xdr:cNvPr>
          <xdr:cNvSpPr/>
        </xdr:nvSpPr>
        <xdr:spPr>
          <a:xfrm>
            <a:off x="4184838" y="638541"/>
            <a:ext cx="605493" cy="513985"/>
          </a:xfrm>
          <a:prstGeom prst="ellipse">
            <a:avLst/>
          </a:prstGeom>
          <a:gradFill flip="none" rotWithShape="1">
            <a:gsLst>
              <a:gs pos="0">
                <a:schemeClr val="accent3">
                  <a:shade val="30000"/>
                  <a:satMod val="115000"/>
                </a:schemeClr>
              </a:gs>
              <a:gs pos="50000">
                <a:schemeClr val="accent3">
                  <a:shade val="67500"/>
                  <a:satMod val="115000"/>
                </a:schemeClr>
              </a:gs>
              <a:gs pos="100000">
                <a:schemeClr val="accent3">
                  <a:shade val="100000"/>
                  <a:satMod val="115000"/>
                </a:schemeClr>
              </a:gs>
            </a:gsLst>
            <a:lin ang="16200000" scaled="1"/>
            <a:tileRect/>
          </a:gradFill>
          <a:ln w="101600">
            <a:solidFill>
              <a:schemeClr val="tx1">
                <a:lumMod val="85000"/>
                <a:lumOff val="15000"/>
              </a:schemeClr>
            </a:solidFill>
          </a:ln>
        </xdr:spPr>
        <xdr:style>
          <a:lnRef idx="3">
            <a:schemeClr val="lt1"/>
          </a:lnRef>
          <a:fillRef idx="1">
            <a:schemeClr val="accent3"/>
          </a:fillRef>
          <a:effectRef idx="1">
            <a:schemeClr val="accent3"/>
          </a:effectRef>
          <a:fontRef idx="minor">
            <a:schemeClr val="lt1"/>
          </a:fontRef>
        </xdr:style>
        <xdr:txBody>
          <a:bodyPr rtlCol="0" anchor="ctr"/>
          <a:lstStyle/>
          <a:p>
            <a:pPr algn="ctr"/>
            <a:endParaRPr lang="en-US" sz="1100"/>
          </a:p>
        </xdr:txBody>
      </xdr:sp>
    </xdr:grpSp>
    <xdr:clientData/>
  </xdr:twoCellAnchor>
  <xdr:twoCellAnchor>
    <xdr:from>
      <xdr:col>9</xdr:col>
      <xdr:colOff>314324</xdr:colOff>
      <xdr:row>13</xdr:row>
      <xdr:rowOff>47626</xdr:rowOff>
    </xdr:from>
    <xdr:to>
      <xdr:col>12</xdr:col>
      <xdr:colOff>0</xdr:colOff>
      <xdr:row>15</xdr:row>
      <xdr:rowOff>133350</xdr:rowOff>
    </xdr:to>
    <xdr:sp macro="" textlink="">
      <xdr:nvSpPr>
        <xdr:cNvPr id="22" name="TextBox 21">
          <a:extLst>
            <a:ext uri="{FF2B5EF4-FFF2-40B4-BE49-F238E27FC236}">
              <a16:creationId xmlns:a16="http://schemas.microsoft.com/office/drawing/2014/main" id="{00000000-0008-0000-0500-000016000000}"/>
            </a:ext>
          </a:extLst>
        </xdr:cNvPr>
        <xdr:cNvSpPr txBox="1"/>
      </xdr:nvSpPr>
      <xdr:spPr>
        <a:xfrm>
          <a:off x="6429374" y="2562226"/>
          <a:ext cx="2724151" cy="466724"/>
        </a:xfrm>
        <a:prstGeom prst="wedgeRectCallout">
          <a:avLst>
            <a:gd name="adj1" fmla="val -61302"/>
            <a:gd name="adj2" fmla="val -115234"/>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r>
            <a:rPr lang="en-US" sz="1050" b="1" i="1"/>
            <a:t>N1</a:t>
          </a:r>
          <a:r>
            <a:rPr lang="en-US" sz="1050" b="1" i="1" baseline="0"/>
            <a:t> = North Leg Inside Approach Lane</a:t>
          </a:r>
        </a:p>
        <a:p>
          <a:r>
            <a:rPr lang="en-US" sz="1050" b="1" i="1" baseline="0"/>
            <a:t>N2 = North Leg Outside Approach (Curb) Lane</a:t>
          </a:r>
        </a:p>
      </xdr:txBody>
    </xdr:sp>
    <xdr:clientData/>
  </xdr:twoCellAnchor>
  <xdr:twoCellAnchor>
    <xdr:from>
      <xdr:col>9</xdr:col>
      <xdr:colOff>228601</xdr:colOff>
      <xdr:row>18</xdr:row>
      <xdr:rowOff>133350</xdr:rowOff>
    </xdr:from>
    <xdr:to>
      <xdr:col>10</xdr:col>
      <xdr:colOff>723900</xdr:colOff>
      <xdr:row>23</xdr:row>
      <xdr:rowOff>85725</xdr:rowOff>
    </xdr:to>
    <xdr:sp macro="" textlink="">
      <xdr:nvSpPr>
        <xdr:cNvPr id="23" name="TextBox 22">
          <a:extLst>
            <a:ext uri="{FF2B5EF4-FFF2-40B4-BE49-F238E27FC236}">
              <a16:creationId xmlns:a16="http://schemas.microsoft.com/office/drawing/2014/main" id="{00000000-0008-0000-0500-000017000000}"/>
            </a:ext>
          </a:extLst>
        </xdr:cNvPr>
        <xdr:cNvSpPr txBox="1"/>
      </xdr:nvSpPr>
      <xdr:spPr>
        <a:xfrm>
          <a:off x="6343651" y="3600450"/>
          <a:ext cx="1657349" cy="914400"/>
        </a:xfrm>
        <a:prstGeom prst="wedgeRectCallout">
          <a:avLst>
            <a:gd name="adj1" fmla="val -63841"/>
            <a:gd name="adj2" fmla="val -30877"/>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Volumes into Blue Spaces</a:t>
          </a:r>
          <a:r>
            <a:rPr lang="en-US" sz="1100" b="1" i="1" baseline="0"/>
            <a:t> &amp; Select Lane Configuration.</a:t>
          </a:r>
          <a:endParaRPr lang="en-US" sz="1100" b="1" i="1"/>
        </a:p>
        <a:p>
          <a:pPr algn="l"/>
          <a:r>
            <a:rPr lang="en-US" sz="1100" b="1" i="1"/>
            <a:t>See</a:t>
          </a:r>
          <a:r>
            <a:rPr lang="en-US" sz="1100" b="1" i="1" baseline="0"/>
            <a:t> </a:t>
          </a:r>
          <a:r>
            <a:rPr lang="en-US" sz="1100" b="1" i="1" u="sng" baseline="0"/>
            <a:t>Instructions</a:t>
          </a:r>
          <a:r>
            <a:rPr lang="en-US" sz="1100" b="1" i="1" baseline="0"/>
            <a:t> TAB for inputting the volumes.</a:t>
          </a:r>
          <a:endParaRPr lang="en-US" sz="1050" i="1"/>
        </a:p>
      </xdr:txBody>
    </xdr:sp>
    <xdr:clientData/>
  </xdr:twoCellAnchor>
  <xdr:twoCellAnchor>
    <xdr:from>
      <xdr:col>9</xdr:col>
      <xdr:colOff>257175</xdr:colOff>
      <xdr:row>50</xdr:row>
      <xdr:rowOff>0</xdr:rowOff>
    </xdr:from>
    <xdr:to>
      <xdr:col>10</xdr:col>
      <xdr:colOff>933451</xdr:colOff>
      <xdr:row>54</xdr:row>
      <xdr:rowOff>47625</xdr:rowOff>
    </xdr:to>
    <xdr:sp macro="" textlink="">
      <xdr:nvSpPr>
        <xdr:cNvPr id="24" name="TextBox 23">
          <a:extLst>
            <a:ext uri="{FF2B5EF4-FFF2-40B4-BE49-F238E27FC236}">
              <a16:creationId xmlns:a16="http://schemas.microsoft.com/office/drawing/2014/main" id="{00000000-0008-0000-0500-000018000000}"/>
            </a:ext>
          </a:extLst>
        </xdr:cNvPr>
        <xdr:cNvSpPr txBox="1"/>
      </xdr:nvSpPr>
      <xdr:spPr>
        <a:xfrm>
          <a:off x="6372225" y="7534275"/>
          <a:ext cx="1838326" cy="828675"/>
        </a:xfrm>
        <a:prstGeom prst="wedgeRectCallout">
          <a:avLst>
            <a:gd name="adj1" fmla="val -63979"/>
            <a:gd name="adj2" fmla="val 35819"/>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truck percentages and PHF for every approach.  Insert bus and bicycle percentages if available.</a:t>
          </a:r>
          <a:endParaRPr lang="en-US" sz="1050" b="1" i="1"/>
        </a:p>
      </xdr:txBody>
    </xdr:sp>
    <xdr:clientData/>
  </xdr:twoCellAnchor>
  <xdr:twoCellAnchor>
    <xdr:from>
      <xdr:col>9</xdr:col>
      <xdr:colOff>247650</xdr:colOff>
      <xdr:row>60</xdr:row>
      <xdr:rowOff>19050</xdr:rowOff>
    </xdr:from>
    <xdr:to>
      <xdr:col>10</xdr:col>
      <xdr:colOff>1038224</xdr:colOff>
      <xdr:row>63</xdr:row>
      <xdr:rowOff>80756</xdr:rowOff>
    </xdr:to>
    <xdr:sp macro="" textlink="">
      <xdr:nvSpPr>
        <xdr:cNvPr id="25" name="TextBox 24">
          <a:extLst>
            <a:ext uri="{FF2B5EF4-FFF2-40B4-BE49-F238E27FC236}">
              <a16:creationId xmlns:a16="http://schemas.microsoft.com/office/drawing/2014/main" id="{00000000-0008-0000-0500-000019000000}"/>
            </a:ext>
          </a:extLst>
        </xdr:cNvPr>
        <xdr:cNvSpPr txBox="1"/>
      </xdr:nvSpPr>
      <xdr:spPr>
        <a:xfrm>
          <a:off x="6362700" y="9525000"/>
          <a:ext cx="1952624" cy="642731"/>
        </a:xfrm>
        <a:prstGeom prst="wedgeRectCallout">
          <a:avLst>
            <a:gd name="adj1" fmla="val 53370"/>
            <a:gd name="adj2" fmla="val -68611"/>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If the</a:t>
          </a:r>
          <a:r>
            <a:rPr lang="en-US" sz="1050" b="1" i="1" baseline="0"/>
            <a:t> Vehicle Equivalency Factors vary from the defaults, modify them in this table.</a:t>
          </a:r>
          <a:endParaRPr lang="en-US" sz="1050" b="1" i="1"/>
        </a:p>
      </xdr:txBody>
    </xdr:sp>
    <xdr:clientData/>
  </xdr:twoCellAnchor>
  <xdr:twoCellAnchor>
    <xdr:from>
      <xdr:col>9</xdr:col>
      <xdr:colOff>276225</xdr:colOff>
      <xdr:row>54</xdr:row>
      <xdr:rowOff>114300</xdr:rowOff>
    </xdr:from>
    <xdr:to>
      <xdr:col>10</xdr:col>
      <xdr:colOff>990599</xdr:colOff>
      <xdr:row>59</xdr:row>
      <xdr:rowOff>47625</xdr:rowOff>
    </xdr:to>
    <xdr:sp macro="" textlink="">
      <xdr:nvSpPr>
        <xdr:cNvPr id="26" name="TextBox 25">
          <a:extLst>
            <a:ext uri="{FF2B5EF4-FFF2-40B4-BE49-F238E27FC236}">
              <a16:creationId xmlns:a16="http://schemas.microsoft.com/office/drawing/2014/main" id="{00000000-0008-0000-0500-00001A000000}"/>
            </a:ext>
          </a:extLst>
        </xdr:cNvPr>
        <xdr:cNvSpPr txBox="1"/>
      </xdr:nvSpPr>
      <xdr:spPr>
        <a:xfrm>
          <a:off x="6391275" y="8429625"/>
          <a:ext cx="1876424" cy="923925"/>
        </a:xfrm>
        <a:prstGeom prst="wedgeRectCallout">
          <a:avLst>
            <a:gd name="adj1" fmla="val -65631"/>
            <a:gd name="adj2" fmla="val -21485"/>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PHF for every approach.</a:t>
          </a:r>
          <a:r>
            <a:rPr lang="en-US" sz="1050" b="1" i="1" baseline="0"/>
            <a:t>  The defaults are:</a:t>
          </a:r>
        </a:p>
        <a:p>
          <a:pPr algn="l"/>
          <a:r>
            <a:rPr lang="en-US" sz="1050" b="1" i="1" baseline="0"/>
            <a:t>Urban Area = .92</a:t>
          </a:r>
        </a:p>
        <a:p>
          <a:pPr algn="l"/>
          <a:r>
            <a:rPr lang="en-US" sz="1050" b="1" i="1" baseline="0"/>
            <a:t>Rural Area = .88</a:t>
          </a:r>
        </a:p>
      </xdr:txBody>
    </xdr:sp>
    <xdr:clientData/>
  </xdr:twoCellAnchor>
  <xdr:twoCellAnchor>
    <xdr:from>
      <xdr:col>9</xdr:col>
      <xdr:colOff>190503</xdr:colOff>
      <xdr:row>134</xdr:row>
      <xdr:rowOff>19050</xdr:rowOff>
    </xdr:from>
    <xdr:to>
      <xdr:col>15</xdr:col>
      <xdr:colOff>619125</xdr:colOff>
      <xdr:row>142</xdr:row>
      <xdr:rowOff>152400</xdr:rowOff>
    </xdr:to>
    <xdr:sp macro="" textlink="">
      <xdr:nvSpPr>
        <xdr:cNvPr id="27" name="TextBox 26">
          <a:extLst>
            <a:ext uri="{FF2B5EF4-FFF2-40B4-BE49-F238E27FC236}">
              <a16:creationId xmlns:a16="http://schemas.microsoft.com/office/drawing/2014/main" id="{00000000-0008-0000-0500-00001B000000}"/>
            </a:ext>
          </a:extLst>
        </xdr:cNvPr>
        <xdr:cNvSpPr txBox="1"/>
      </xdr:nvSpPr>
      <xdr:spPr>
        <a:xfrm>
          <a:off x="6305553" y="20964525"/>
          <a:ext cx="4752972" cy="2057400"/>
        </a:xfrm>
        <a:prstGeom prst="wedgeRectCallout">
          <a:avLst>
            <a:gd name="adj1" fmla="val -54795"/>
            <a:gd name="adj2" fmla="val -6549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the Exit Leg Input Method to calculate</a:t>
          </a:r>
          <a:r>
            <a:rPr lang="en-US" sz="1100" b="1" i="1" baseline="0"/>
            <a:t> the Conflicting Critical Lane Flow</a:t>
          </a:r>
          <a:r>
            <a:rPr lang="en-US" sz="1100" b="1" i="1"/>
            <a:t>:</a:t>
          </a:r>
        </a:p>
        <a:p>
          <a:pPr algn="l"/>
          <a:r>
            <a:rPr lang="en-US" sz="1100" b="1" i="1" u="sng"/>
            <a:t>Default:</a:t>
          </a:r>
        </a:p>
        <a:p>
          <a:pPr algn="l"/>
          <a:r>
            <a:rPr lang="en-US" sz="1100" b="1" i="1" baseline="0"/>
            <a:t>This yields a conservative value based on the total number of vehicles exiting the roundabout in both lanes .</a:t>
          </a:r>
        </a:p>
        <a:p>
          <a:pPr algn="l"/>
          <a:r>
            <a:rPr lang="en-US" sz="1100" b="1" i="1" u="sng" baseline="0"/>
            <a:t>Manual:</a:t>
          </a:r>
        </a:p>
        <a:p>
          <a:pPr algn="l"/>
          <a:r>
            <a:rPr lang="en-US" sz="1100" b="1" i="1" baseline="0"/>
            <a:t>User inputs the volumes for each exit lane based on the roundabout lane configuration.  User must manually insert an average peak hour factor and heavy vehicle factor to calculate the flow rate.</a:t>
          </a:r>
          <a:endParaRPr lang="en-US" sz="1050" i="1"/>
        </a:p>
      </xdr:txBody>
    </xdr:sp>
    <xdr:clientData/>
  </xdr:twoCellAnchor>
  <xdr:twoCellAnchor>
    <xdr:from>
      <xdr:col>9</xdr:col>
      <xdr:colOff>495299</xdr:colOff>
      <xdr:row>130</xdr:row>
      <xdr:rowOff>0</xdr:rowOff>
    </xdr:from>
    <xdr:to>
      <xdr:col>15</xdr:col>
      <xdr:colOff>180974</xdr:colOff>
      <xdr:row>132</xdr:row>
      <xdr:rowOff>57150</xdr:rowOff>
    </xdr:to>
    <xdr:sp macro="" textlink="">
      <xdr:nvSpPr>
        <xdr:cNvPr id="28" name="TextBox 27">
          <a:extLst>
            <a:ext uri="{FF2B5EF4-FFF2-40B4-BE49-F238E27FC236}">
              <a16:creationId xmlns:a16="http://schemas.microsoft.com/office/drawing/2014/main" id="{00000000-0008-0000-0500-00001C000000}"/>
            </a:ext>
          </a:extLst>
        </xdr:cNvPr>
        <xdr:cNvSpPr txBox="1"/>
      </xdr:nvSpPr>
      <xdr:spPr>
        <a:xfrm>
          <a:off x="6610349" y="20183475"/>
          <a:ext cx="4152900" cy="438150"/>
        </a:xfrm>
        <a:prstGeom prst="wedgeRectCallout">
          <a:avLst>
            <a:gd name="adj1" fmla="val -67491"/>
            <a:gd name="adj2" fmla="val 11748"/>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Right Turn Volume from the Entry Leg and remove the RT Volume above.</a:t>
          </a:r>
          <a:endParaRPr lang="en-US" sz="1050" i="1"/>
        </a:p>
      </xdr:txBody>
    </xdr:sp>
    <xdr:clientData/>
  </xdr:twoCellAnchor>
  <xdr:twoCellAnchor>
    <xdr:from>
      <xdr:col>9</xdr:col>
      <xdr:colOff>533400</xdr:colOff>
      <xdr:row>124</xdr:row>
      <xdr:rowOff>38100</xdr:rowOff>
    </xdr:from>
    <xdr:to>
      <xdr:col>11</xdr:col>
      <xdr:colOff>371476</xdr:colOff>
      <xdr:row>127</xdr:row>
      <xdr:rowOff>38100</xdr:rowOff>
    </xdr:to>
    <xdr:sp macro="" textlink="">
      <xdr:nvSpPr>
        <xdr:cNvPr id="29" name="TextBox 28">
          <a:extLst>
            <a:ext uri="{FF2B5EF4-FFF2-40B4-BE49-F238E27FC236}">
              <a16:creationId xmlns:a16="http://schemas.microsoft.com/office/drawing/2014/main" id="{00000000-0008-0000-0500-00001D000000}"/>
            </a:ext>
          </a:extLst>
        </xdr:cNvPr>
        <xdr:cNvSpPr txBox="1"/>
      </xdr:nvSpPr>
      <xdr:spPr>
        <a:xfrm>
          <a:off x="6648450" y="19069050"/>
          <a:ext cx="2114551" cy="581025"/>
        </a:xfrm>
        <a:prstGeom prst="wedgeRectCallout">
          <a:avLst>
            <a:gd name="adj1" fmla="val -75688"/>
            <a:gd name="adj2" fmla="val 44378"/>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Entry</a:t>
          </a:r>
          <a:r>
            <a:rPr lang="en-US" sz="1100" b="1" i="1" baseline="0"/>
            <a:t> &amp; Exit Leg for the given bypass from the pulldown button.</a:t>
          </a:r>
          <a:endParaRPr lang="en-US" sz="1050" i="1"/>
        </a:p>
      </xdr:txBody>
    </xdr:sp>
    <xdr:clientData/>
  </xdr:twoCellAnchor>
  <xdr:twoCellAnchor>
    <xdr:from>
      <xdr:col>9</xdr:col>
      <xdr:colOff>285750</xdr:colOff>
      <xdr:row>151</xdr:row>
      <xdr:rowOff>161925</xdr:rowOff>
    </xdr:from>
    <xdr:to>
      <xdr:col>19</xdr:col>
      <xdr:colOff>0</xdr:colOff>
      <xdr:row>172</xdr:row>
      <xdr:rowOff>161925</xdr:rowOff>
    </xdr:to>
    <xdr:grpSp>
      <xdr:nvGrpSpPr>
        <xdr:cNvPr id="30" name="Group 29">
          <a:extLst>
            <a:ext uri="{FF2B5EF4-FFF2-40B4-BE49-F238E27FC236}">
              <a16:creationId xmlns:a16="http://schemas.microsoft.com/office/drawing/2014/main" id="{00000000-0008-0000-0500-00001E000000}"/>
            </a:ext>
          </a:extLst>
        </xdr:cNvPr>
        <xdr:cNvGrpSpPr/>
      </xdr:nvGrpSpPr>
      <xdr:grpSpPr>
        <a:xfrm>
          <a:off x="6400800" y="24822150"/>
          <a:ext cx="6943725" cy="3629025"/>
          <a:chOff x="6191250" y="23241000"/>
          <a:chExt cx="5057775" cy="3629025"/>
        </a:xfrm>
      </xdr:grpSpPr>
      <xdr:pic>
        <xdr:nvPicPr>
          <xdr:cNvPr id="31" name="Picture 130">
            <a:extLst>
              <a:ext uri="{FF2B5EF4-FFF2-40B4-BE49-F238E27FC236}">
                <a16:creationId xmlns:a16="http://schemas.microsoft.com/office/drawing/2014/main" id="{00000000-0008-0000-0500-00001F000000}"/>
              </a:ext>
            </a:extLst>
          </xdr:cNvPr>
          <xdr:cNvPicPr>
            <a:picLocks noChangeAspect="1" noChangeArrowheads="1"/>
          </xdr:cNvPicPr>
        </xdr:nvPicPr>
        <xdr:blipFill>
          <a:blip xmlns:r="http://schemas.openxmlformats.org/officeDocument/2006/relationships" r:embed="rId1" cstate="print"/>
          <a:srcRect l="12497" r="30417" b="43733"/>
          <a:stretch>
            <a:fillRect/>
          </a:stretch>
        </xdr:blipFill>
        <xdr:spPr bwMode="auto">
          <a:xfrm>
            <a:off x="6191250" y="23241000"/>
            <a:ext cx="5057775" cy="3629025"/>
          </a:xfrm>
          <a:prstGeom prst="rect">
            <a:avLst/>
          </a:prstGeom>
          <a:noFill/>
          <a:ln w="9525">
            <a:noFill/>
            <a:miter lim="800000"/>
            <a:headEnd/>
            <a:tailEnd/>
          </a:ln>
        </xdr:spPr>
      </xdr:pic>
      <xdr:sp macro="" textlink="">
        <xdr:nvSpPr>
          <xdr:cNvPr id="32" name="TextBox 31">
            <a:extLst>
              <a:ext uri="{FF2B5EF4-FFF2-40B4-BE49-F238E27FC236}">
                <a16:creationId xmlns:a16="http://schemas.microsoft.com/office/drawing/2014/main" id="{00000000-0008-0000-0500-000020000000}"/>
              </a:ext>
            </a:extLst>
          </xdr:cNvPr>
          <xdr:cNvSpPr txBox="1"/>
        </xdr:nvSpPr>
        <xdr:spPr>
          <a:xfrm>
            <a:off x="8429625" y="25898475"/>
            <a:ext cx="1952625"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latin typeface="+mj-lt"/>
              </a:rPr>
              <a:t>Bypass Flow</a:t>
            </a:r>
            <a:r>
              <a:rPr lang="en-US" sz="1100" baseline="0">
                <a:latin typeface="+mj-lt"/>
              </a:rPr>
              <a:t> Merge Point of Analysis (Yield Condition)</a:t>
            </a:r>
            <a:endParaRPr lang="en-US" sz="1100">
              <a:latin typeface="+mj-lt"/>
            </a:endParaRPr>
          </a:p>
        </xdr:txBody>
      </xdr:sp>
    </xdr:grpSp>
    <xdr:clientData/>
  </xdr:twoCellAnchor>
  <xdr:twoCellAnchor>
    <xdr:from>
      <xdr:col>9</xdr:col>
      <xdr:colOff>209552</xdr:colOff>
      <xdr:row>77</xdr:row>
      <xdr:rowOff>66675</xdr:rowOff>
    </xdr:from>
    <xdr:to>
      <xdr:col>13</xdr:col>
      <xdr:colOff>438151</xdr:colOff>
      <xdr:row>92</xdr:row>
      <xdr:rowOff>57150</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a:off x="6324602" y="12877800"/>
          <a:ext cx="3743324" cy="2038350"/>
        </a:xfrm>
        <a:prstGeom prst="wedgeRectCallout">
          <a:avLst>
            <a:gd name="adj1" fmla="val -57112"/>
            <a:gd name="adj2" fmla="val -62081"/>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100" b="1" i="1" baseline="0">
              <a:solidFill>
                <a:schemeClr val="dk1"/>
              </a:solidFill>
              <a:latin typeface="+mn-lt"/>
              <a:ea typeface="+mn-ea"/>
              <a:cs typeface="+mn-cs"/>
            </a:rPr>
            <a:t>When an approach </a:t>
          </a:r>
          <a:r>
            <a:rPr lang="en-US" sz="1100" b="1" i="1" baseline="0">
              <a:solidFill>
                <a:srgbClr val="FF0000"/>
              </a:solidFill>
              <a:latin typeface="+mn-lt"/>
              <a:ea typeface="+mn-ea"/>
              <a:cs typeface="+mn-cs"/>
            </a:rPr>
            <a:t>yields an unacceptable </a:t>
          </a:r>
          <a:r>
            <a:rPr lang="en-US" sz="1100" b="1" i="1" baseline="0">
              <a:solidFill>
                <a:schemeClr val="dk1"/>
              </a:solidFill>
              <a:latin typeface="+mn-lt"/>
              <a:ea typeface="+mn-ea"/>
              <a:cs typeface="+mn-cs"/>
            </a:rPr>
            <a:t> measure of effectiveness (V/C ratio, Control Delay, or Queue Length)</a:t>
          </a:r>
          <a:r>
            <a:rPr lang="en-US" sz="1100" b="1" i="1" baseline="0"/>
            <a:t>:</a:t>
          </a:r>
        </a:p>
        <a:p>
          <a:pPr algn="l"/>
          <a:r>
            <a:rPr lang="en-US" sz="1100" b="1" i="1" baseline="0"/>
            <a:t>-  Consider adding a Right Turn Bypass Lane</a:t>
          </a:r>
        </a:p>
        <a:p>
          <a:pPr algn="l"/>
          <a:endParaRPr lang="en-US" sz="1100" b="1" i="1" baseline="0"/>
        </a:p>
        <a:p>
          <a:r>
            <a:rPr lang="en-US" sz="1100" b="1" i="1">
              <a:solidFill>
                <a:schemeClr val="dk1"/>
              </a:solidFill>
              <a:latin typeface="+mn-lt"/>
              <a:ea typeface="+mn-ea"/>
              <a:cs typeface="+mn-cs"/>
            </a:rPr>
            <a:t>Note:  The HCM 2010</a:t>
          </a:r>
          <a:r>
            <a:rPr lang="en-US" sz="1100" b="1" i="1" baseline="0">
              <a:solidFill>
                <a:schemeClr val="dk1"/>
              </a:solidFill>
              <a:latin typeface="+mn-lt"/>
              <a:ea typeface="+mn-ea"/>
              <a:cs typeface="+mn-cs"/>
            </a:rPr>
            <a:t> model yields a conservative Entry Capacity and is best applied to the present year when driver familiarity is low; while the UK model yields a liberal Entry Capacity and is best applied in the future year when driver familiarity has increased.  Engineering Judgement should be used when interepreting the results.  </a:t>
          </a:r>
          <a:endParaRPr lang="en-US"/>
        </a:p>
        <a:p>
          <a:r>
            <a:rPr lang="en-US" sz="1100" b="1" i="1">
              <a:solidFill>
                <a:schemeClr val="dk1"/>
              </a:solidFill>
              <a:latin typeface="+mn-lt"/>
              <a:ea typeface="+mn-ea"/>
              <a:cs typeface="+mn-cs"/>
            </a:rPr>
            <a:t>See</a:t>
          </a:r>
          <a:r>
            <a:rPr lang="en-US" sz="1100" b="1" i="1" baseline="0">
              <a:solidFill>
                <a:schemeClr val="dk1"/>
              </a:solidFill>
              <a:latin typeface="+mn-lt"/>
              <a:ea typeface="+mn-ea"/>
              <a:cs typeface="+mn-cs"/>
            </a:rPr>
            <a:t> the "INSTRUCTIONS" Tab for further details.</a:t>
          </a:r>
          <a:endParaRPr lang="en-US" sz="1100" b="1" i="1">
            <a:solidFill>
              <a:schemeClr val="dk1"/>
            </a:solidFill>
            <a:latin typeface="+mn-lt"/>
            <a:ea typeface="+mn-ea"/>
            <a:cs typeface="+mn-cs"/>
          </a:endParaRPr>
        </a:p>
        <a:p>
          <a:pPr algn="l"/>
          <a:endParaRPr lang="en-US" sz="1100" b="1" i="1" baseline="0"/>
        </a:p>
      </xdr:txBody>
    </xdr:sp>
    <xdr:clientData/>
  </xdr:twoCellAnchor>
  <xdr:twoCellAnchor>
    <xdr:from>
      <xdr:col>9</xdr:col>
      <xdr:colOff>190501</xdr:colOff>
      <xdr:row>143</xdr:row>
      <xdr:rowOff>114299</xdr:rowOff>
    </xdr:from>
    <xdr:to>
      <xdr:col>15</xdr:col>
      <xdr:colOff>619125</xdr:colOff>
      <xdr:row>150</xdr:row>
      <xdr:rowOff>9524</xdr:rowOff>
    </xdr:to>
    <xdr:sp macro="" textlink="">
      <xdr:nvSpPr>
        <xdr:cNvPr id="34" name="TextBox 33">
          <a:extLst>
            <a:ext uri="{FF2B5EF4-FFF2-40B4-BE49-F238E27FC236}">
              <a16:creationId xmlns:a16="http://schemas.microsoft.com/office/drawing/2014/main" id="{00000000-0008-0000-0500-000022000000}"/>
            </a:ext>
          </a:extLst>
        </xdr:cNvPr>
        <xdr:cNvSpPr txBox="1"/>
      </xdr:nvSpPr>
      <xdr:spPr>
        <a:xfrm>
          <a:off x="6305551" y="23183849"/>
          <a:ext cx="4752974" cy="1295400"/>
        </a:xfrm>
        <a:prstGeom prst="wedgeRectCallout">
          <a:avLst>
            <a:gd name="adj1" fmla="val -55438"/>
            <a:gd name="adj2" fmla="val 19022"/>
          </a:avLst>
        </a:prstGeom>
        <a:solidFill>
          <a:schemeClr val="tx2">
            <a:lumMod val="40000"/>
            <a:lumOff val="6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100" b="1" i="1"/>
            <a:t>Note:  The </a:t>
          </a:r>
          <a:r>
            <a:rPr lang="en-US" sz="1100" b="1" i="1" baseline="0"/>
            <a:t>bypass lane analysis assumes the merge point is a </a:t>
          </a:r>
          <a:r>
            <a:rPr lang="en-US" sz="1100" b="1" i="1" baseline="0">
              <a:solidFill>
                <a:srgbClr val="C00000"/>
              </a:solidFill>
            </a:rPr>
            <a:t>Yield</a:t>
          </a:r>
          <a:r>
            <a:rPr lang="en-US" sz="1100" b="1" i="1" baseline="0"/>
            <a:t> condition.   </a:t>
          </a:r>
          <a:r>
            <a:rPr lang="en-US" sz="1100" b="1" i="1" baseline="0">
              <a:solidFill>
                <a:schemeClr val="dk1"/>
              </a:solidFill>
              <a:latin typeface="+mn-lt"/>
              <a:ea typeface="+mn-ea"/>
              <a:cs typeface="+mn-cs"/>
            </a:rPr>
            <a:t>(see Reference Diagram Below)</a:t>
          </a:r>
          <a:endParaRPr lang="en-US" sz="1100" b="1" i="1">
            <a:solidFill>
              <a:schemeClr val="dk1"/>
            </a:solidFill>
            <a:latin typeface="+mn-lt"/>
            <a:ea typeface="+mn-ea"/>
            <a:cs typeface="+mn-cs"/>
          </a:endParaRPr>
        </a:p>
        <a:p>
          <a:pPr algn="l"/>
          <a:endParaRPr lang="en-US" sz="1100" b="1" i="1" baseline="0"/>
        </a:p>
        <a:p>
          <a:pPr marL="0" marR="0" indent="0" algn="l" defTabSz="914400" eaLnBrk="1" fontAlgn="auto" latinLnBrk="0" hangingPunct="1">
            <a:lnSpc>
              <a:spcPct val="100000"/>
            </a:lnSpc>
            <a:spcBef>
              <a:spcPts val="0"/>
            </a:spcBef>
            <a:spcAft>
              <a:spcPts val="0"/>
            </a:spcAft>
            <a:buClrTx/>
            <a:buSzTx/>
            <a:buFontTx/>
            <a:buNone/>
            <a:tabLst/>
            <a:defRPr/>
          </a:pPr>
          <a:r>
            <a:rPr lang="en-US" sz="1100" b="1" i="1" baseline="0">
              <a:solidFill>
                <a:schemeClr val="dk1"/>
              </a:solidFill>
              <a:latin typeface="+mn-lt"/>
              <a:ea typeface="+mn-ea"/>
              <a:cs typeface="+mn-cs"/>
            </a:rPr>
            <a:t>If there is a full receiving lane  allowing freeflow for RT traffic, use engineering judgement to determine the bypass results.</a:t>
          </a:r>
          <a:endParaRPr lang="en-US" sz="1100" b="1" i="1" baseline="0"/>
        </a:p>
      </xdr:txBody>
    </xdr:sp>
    <xdr:clientData/>
  </xdr:twoCellAnchor>
  <xdr:twoCellAnchor>
    <xdr:from>
      <xdr:col>9</xdr:col>
      <xdr:colOff>371476</xdr:colOff>
      <xdr:row>150</xdr:row>
      <xdr:rowOff>47626</xdr:rowOff>
    </xdr:from>
    <xdr:to>
      <xdr:col>10</xdr:col>
      <xdr:colOff>657225</xdr:colOff>
      <xdr:row>151</xdr:row>
      <xdr:rowOff>95251</xdr:rowOff>
    </xdr:to>
    <xdr:sp macro="" textlink="">
      <xdr:nvSpPr>
        <xdr:cNvPr id="35" name="TextBox 34">
          <a:extLst>
            <a:ext uri="{FF2B5EF4-FFF2-40B4-BE49-F238E27FC236}">
              <a16:creationId xmlns:a16="http://schemas.microsoft.com/office/drawing/2014/main" id="{00000000-0008-0000-0500-000023000000}"/>
            </a:ext>
          </a:extLst>
        </xdr:cNvPr>
        <xdr:cNvSpPr txBox="1"/>
      </xdr:nvSpPr>
      <xdr:spPr>
        <a:xfrm>
          <a:off x="6486526" y="24517351"/>
          <a:ext cx="1447799" cy="238125"/>
        </a:xfrm>
        <a:prstGeom prst="rect">
          <a:avLst/>
        </a:prstGeom>
        <a:solidFill>
          <a:schemeClr val="accent3">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200" b="1" i="0" u="sng"/>
            <a:t>Reference</a:t>
          </a:r>
          <a:r>
            <a:rPr lang="en-US" sz="1200" b="1" i="0" u="sng" baseline="0"/>
            <a:t> Diagram</a:t>
          </a:r>
          <a:endParaRPr lang="en-US" sz="1100" b="1" i="0" u="sng"/>
        </a:p>
      </xdr:txBody>
    </xdr:sp>
    <xdr:clientData/>
  </xdr:twoCellAnchor>
  <xdr:twoCellAnchor>
    <xdr:from>
      <xdr:col>9</xdr:col>
      <xdr:colOff>228599</xdr:colOff>
      <xdr:row>45</xdr:row>
      <xdr:rowOff>142876</xdr:rowOff>
    </xdr:from>
    <xdr:to>
      <xdr:col>10</xdr:col>
      <xdr:colOff>819150</xdr:colOff>
      <xdr:row>49</xdr:row>
      <xdr:rowOff>123825</xdr:rowOff>
    </xdr:to>
    <xdr:sp macro="" textlink="">
      <xdr:nvSpPr>
        <xdr:cNvPr id="36" name="TextBox 35">
          <a:extLst>
            <a:ext uri="{FF2B5EF4-FFF2-40B4-BE49-F238E27FC236}">
              <a16:creationId xmlns:a16="http://schemas.microsoft.com/office/drawing/2014/main" id="{00000000-0008-0000-0500-000024000000}"/>
            </a:ext>
          </a:extLst>
        </xdr:cNvPr>
        <xdr:cNvSpPr txBox="1"/>
      </xdr:nvSpPr>
      <xdr:spPr>
        <a:xfrm>
          <a:off x="6343649" y="6677026"/>
          <a:ext cx="1752601" cy="771524"/>
        </a:xfrm>
        <a:prstGeom prst="wedgeRectCallout">
          <a:avLst>
            <a:gd name="adj1" fmla="val -65066"/>
            <a:gd name="adj2" fmla="val 26244"/>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lang="en-US" sz="1100" b="1" i="1"/>
            <a:t>How many lanes</a:t>
          </a:r>
          <a:r>
            <a:rPr lang="en-US" sz="1100" b="1" i="1" baseline="0"/>
            <a:t> in the roundabout does the approach have to yield to? (Default =2)</a:t>
          </a:r>
          <a:endParaRPr lang="en-US" sz="1050" b="1" i="1"/>
        </a:p>
      </xdr:txBody>
    </xdr:sp>
    <xdr:clientData/>
  </xdr:twoCellAnchor>
  <xdr:twoCellAnchor>
    <xdr:from>
      <xdr:col>9</xdr:col>
      <xdr:colOff>161924</xdr:colOff>
      <xdr:row>25</xdr:row>
      <xdr:rowOff>95251</xdr:rowOff>
    </xdr:from>
    <xdr:to>
      <xdr:col>10</xdr:col>
      <xdr:colOff>914399</xdr:colOff>
      <xdr:row>29</xdr:row>
      <xdr:rowOff>57151</xdr:rowOff>
    </xdr:to>
    <xdr:sp macro="" textlink="">
      <xdr:nvSpPr>
        <xdr:cNvPr id="37" name="TextBox 36">
          <a:extLst>
            <a:ext uri="{FF2B5EF4-FFF2-40B4-BE49-F238E27FC236}">
              <a16:creationId xmlns:a16="http://schemas.microsoft.com/office/drawing/2014/main" id="{00000000-0008-0000-0500-000025000000}"/>
            </a:ext>
          </a:extLst>
        </xdr:cNvPr>
        <xdr:cNvSpPr txBox="1"/>
      </xdr:nvSpPr>
      <xdr:spPr>
        <a:xfrm>
          <a:off x="6276974" y="4914901"/>
          <a:ext cx="1914525" cy="723900"/>
        </a:xfrm>
        <a:prstGeom prst="wedgeRectCallout">
          <a:avLst>
            <a:gd name="adj1" fmla="val 108264"/>
            <a:gd name="adj2" fmla="val -158967"/>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Use</a:t>
          </a:r>
          <a:r>
            <a:rPr lang="en-US" sz="1050" b="1" i="1" baseline="0"/>
            <a:t> the </a:t>
          </a:r>
          <a:r>
            <a:rPr lang="en-US" sz="1050" b="1" i="1" u="sng" baseline="0"/>
            <a:t>HCM Lane Utilitzation Calculator</a:t>
          </a:r>
          <a:r>
            <a:rPr lang="en-US" sz="1050" b="1" i="1" baseline="0"/>
            <a:t> for assistance in balancing your Volumes for both Lanes.</a:t>
          </a:r>
          <a:endParaRPr lang="en-US" sz="1050" b="1" i="1"/>
        </a:p>
      </xdr:txBody>
    </xdr:sp>
    <xdr:clientData/>
  </xdr:twoCellAnchor>
  <xdr:twoCellAnchor>
    <xdr:from>
      <xdr:col>18</xdr:col>
      <xdr:colOff>114301</xdr:colOff>
      <xdr:row>19</xdr:row>
      <xdr:rowOff>133350</xdr:rowOff>
    </xdr:from>
    <xdr:to>
      <xdr:col>20</xdr:col>
      <xdr:colOff>85725</xdr:colOff>
      <xdr:row>22</xdr:row>
      <xdr:rowOff>114300</xdr:rowOff>
    </xdr:to>
    <xdr:sp macro="" textlink="">
      <xdr:nvSpPr>
        <xdr:cNvPr id="38" name="TextBox 37">
          <a:extLst>
            <a:ext uri="{FF2B5EF4-FFF2-40B4-BE49-F238E27FC236}">
              <a16:creationId xmlns:a16="http://schemas.microsoft.com/office/drawing/2014/main" id="{00000000-0008-0000-0500-000026000000}"/>
            </a:ext>
          </a:extLst>
        </xdr:cNvPr>
        <xdr:cNvSpPr txBox="1"/>
      </xdr:nvSpPr>
      <xdr:spPr>
        <a:xfrm>
          <a:off x="12125326" y="3790950"/>
          <a:ext cx="1628774" cy="552450"/>
        </a:xfrm>
        <a:prstGeom prst="wedgeRectCallout">
          <a:avLst>
            <a:gd name="adj1" fmla="val -55714"/>
            <a:gd name="adj2" fmla="val -57657"/>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050" b="1" i="1"/>
            <a:t>Insert Approach</a:t>
          </a:r>
          <a:r>
            <a:rPr lang="en-US" sz="1050" b="1" i="1" baseline="0"/>
            <a:t> Volumes, then Select Lane Configuration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219076</xdr:colOff>
      <xdr:row>57</xdr:row>
      <xdr:rowOff>1</xdr:rowOff>
    </xdr:from>
    <xdr:to>
      <xdr:col>11</xdr:col>
      <xdr:colOff>381000</xdr:colOff>
      <xdr:row>60</xdr:row>
      <xdr:rowOff>180975</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6229351" y="4457701"/>
          <a:ext cx="1876424" cy="752474"/>
        </a:xfrm>
        <a:prstGeom prst="wedgeRectCallout">
          <a:avLst>
            <a:gd name="adj1" fmla="val -62585"/>
            <a:gd name="adj2" fmla="val 11815"/>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truck percentages for every approach.  Insert bus and bicycle percentages if available.</a:t>
          </a:r>
          <a:endParaRPr lang="en-US" sz="1050" b="1" i="1"/>
        </a:p>
      </xdr:txBody>
    </xdr:sp>
    <xdr:clientData/>
  </xdr:twoCellAnchor>
  <xdr:twoCellAnchor>
    <xdr:from>
      <xdr:col>4</xdr:col>
      <xdr:colOff>47625</xdr:colOff>
      <xdr:row>0</xdr:row>
      <xdr:rowOff>57150</xdr:rowOff>
    </xdr:from>
    <xdr:to>
      <xdr:col>9</xdr:col>
      <xdr:colOff>0</xdr:colOff>
      <xdr:row>9</xdr:row>
      <xdr:rowOff>76200</xdr:rowOff>
    </xdr:to>
    <xdr:grpSp>
      <xdr:nvGrpSpPr>
        <xdr:cNvPr id="3" name="Group 2">
          <a:extLst>
            <a:ext uri="{FF2B5EF4-FFF2-40B4-BE49-F238E27FC236}">
              <a16:creationId xmlns:a16="http://schemas.microsoft.com/office/drawing/2014/main" id="{00000000-0008-0000-0600-000003000000}"/>
            </a:ext>
          </a:extLst>
        </xdr:cNvPr>
        <xdr:cNvGrpSpPr/>
      </xdr:nvGrpSpPr>
      <xdr:grpSpPr>
        <a:xfrm>
          <a:off x="3248025" y="57150"/>
          <a:ext cx="2762250" cy="1762125"/>
          <a:chOff x="3276600" y="57150"/>
          <a:chExt cx="2714625" cy="1752600"/>
        </a:xfrm>
      </xdr:grpSpPr>
      <xdr:grpSp>
        <xdr:nvGrpSpPr>
          <xdr:cNvPr id="4" name="Group 1">
            <a:extLst>
              <a:ext uri="{FF2B5EF4-FFF2-40B4-BE49-F238E27FC236}">
                <a16:creationId xmlns:a16="http://schemas.microsoft.com/office/drawing/2014/main" id="{00000000-0008-0000-0600-000004000000}"/>
              </a:ext>
            </a:extLst>
          </xdr:cNvPr>
          <xdr:cNvGrpSpPr>
            <a:grpSpLocks/>
          </xdr:cNvGrpSpPr>
        </xdr:nvGrpSpPr>
        <xdr:grpSpPr bwMode="auto">
          <a:xfrm>
            <a:off x="3276600" y="57150"/>
            <a:ext cx="2714625" cy="1752600"/>
            <a:chOff x="392" y="47"/>
            <a:chExt cx="276" cy="191"/>
          </a:xfrm>
        </xdr:grpSpPr>
        <xdr:grpSp>
          <xdr:nvGrpSpPr>
            <xdr:cNvPr id="6" name="Group 2">
              <a:extLst>
                <a:ext uri="{FF2B5EF4-FFF2-40B4-BE49-F238E27FC236}">
                  <a16:creationId xmlns:a16="http://schemas.microsoft.com/office/drawing/2014/main" id="{00000000-0008-0000-0600-000006000000}"/>
                </a:ext>
              </a:extLst>
            </xdr:cNvPr>
            <xdr:cNvGrpSpPr>
              <a:grpSpLocks/>
            </xdr:cNvGrpSpPr>
          </xdr:nvGrpSpPr>
          <xdr:grpSpPr bwMode="auto">
            <a:xfrm>
              <a:off x="392" y="47"/>
              <a:ext cx="276" cy="191"/>
              <a:chOff x="392" y="47"/>
              <a:chExt cx="276" cy="191"/>
            </a:xfrm>
          </xdr:grpSpPr>
          <xdr:sp macro="" textlink="">
            <xdr:nvSpPr>
              <xdr:cNvPr id="8" name="Rectangle 3">
                <a:extLst>
                  <a:ext uri="{FF2B5EF4-FFF2-40B4-BE49-F238E27FC236}">
                    <a16:creationId xmlns:a16="http://schemas.microsoft.com/office/drawing/2014/main" id="{00000000-0008-0000-0600-000008000000}"/>
                  </a:ext>
                </a:extLst>
              </xdr:cNvPr>
              <xdr:cNvSpPr>
                <a:spLocks noChangeArrowheads="1"/>
              </xdr:cNvSpPr>
            </xdr:nvSpPr>
            <xdr:spPr bwMode="auto">
              <a:xfrm>
                <a:off x="392" y="47"/>
                <a:ext cx="273" cy="191"/>
              </a:xfrm>
              <a:prstGeom prst="rect">
                <a:avLst/>
              </a:prstGeom>
              <a:solidFill>
                <a:srgbClr val="FFFFFF"/>
              </a:solidFill>
              <a:ln w="9525">
                <a:solidFill>
                  <a:srgbClr val="000000"/>
                </a:solidFill>
                <a:miter lim="800000"/>
                <a:headEnd/>
                <a:tailEnd/>
              </a:ln>
            </xdr:spPr>
          </xdr:sp>
          <xdr:sp macro="" textlink="">
            <xdr:nvSpPr>
              <xdr:cNvPr id="9" name="Line 4">
                <a:extLst>
                  <a:ext uri="{FF2B5EF4-FFF2-40B4-BE49-F238E27FC236}">
                    <a16:creationId xmlns:a16="http://schemas.microsoft.com/office/drawing/2014/main" id="{00000000-0008-0000-0600-000009000000}"/>
                  </a:ext>
                </a:extLst>
              </xdr:cNvPr>
              <xdr:cNvSpPr>
                <a:spLocks noChangeShapeType="1"/>
              </xdr:cNvSpPr>
            </xdr:nvSpPr>
            <xdr:spPr bwMode="auto">
              <a:xfrm rot="5400000">
                <a:off x="517" y="72"/>
                <a:ext cx="0" cy="138"/>
              </a:xfrm>
              <a:prstGeom prst="line">
                <a:avLst/>
              </a:prstGeom>
              <a:noFill/>
              <a:ln w="57150" cap="rnd">
                <a:solidFill>
                  <a:schemeClr val="tx1">
                    <a:lumMod val="75000"/>
                    <a:lumOff val="25000"/>
                  </a:schemeClr>
                </a:solidFill>
                <a:prstDash val="solid"/>
                <a:round/>
                <a:headEnd/>
                <a:tailEnd/>
              </a:ln>
            </xdr:spPr>
          </xdr:sp>
          <xdr:sp macro="" textlink="">
            <xdr:nvSpPr>
              <xdr:cNvPr id="12" name="Text Box 7">
                <a:extLst>
                  <a:ext uri="{FF2B5EF4-FFF2-40B4-BE49-F238E27FC236}">
                    <a16:creationId xmlns:a16="http://schemas.microsoft.com/office/drawing/2014/main" id="{00000000-0008-0000-0600-00000C000000}"/>
                  </a:ext>
                </a:extLst>
              </xdr:cNvPr>
              <xdr:cNvSpPr txBox="1">
                <a:spLocks noChangeArrowheads="1"/>
              </xdr:cNvSpPr>
            </xdr:nvSpPr>
            <xdr:spPr bwMode="auto">
              <a:xfrm>
                <a:off x="500" y="56"/>
                <a:ext cx="4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 (1)</a:t>
                </a:r>
              </a:p>
              <a:p>
                <a:pPr algn="l" rtl="0">
                  <a:defRPr sz="1000"/>
                </a:pPr>
                <a:endParaRPr lang="en-US" sz="1000" b="0" i="0" strike="noStrike">
                  <a:solidFill>
                    <a:srgbClr val="000000"/>
                  </a:solidFill>
                  <a:latin typeface="Arial"/>
                  <a:cs typeface="Arial"/>
                </a:endParaRPr>
              </a:p>
            </xdr:txBody>
          </xdr:sp>
          <xdr:sp macro="" textlink="">
            <xdr:nvSpPr>
              <xdr:cNvPr id="15" name="Text Box 10">
                <a:extLst>
                  <a:ext uri="{FF2B5EF4-FFF2-40B4-BE49-F238E27FC236}">
                    <a16:creationId xmlns:a16="http://schemas.microsoft.com/office/drawing/2014/main" id="{00000000-0008-0000-0600-00000F000000}"/>
                  </a:ext>
                </a:extLst>
              </xdr:cNvPr>
              <xdr:cNvSpPr txBox="1">
                <a:spLocks noChangeArrowheads="1"/>
              </xdr:cNvSpPr>
            </xdr:nvSpPr>
            <xdr:spPr bwMode="auto">
              <a:xfrm>
                <a:off x="586" y="130"/>
                <a:ext cx="48"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E (3)</a:t>
                </a:r>
              </a:p>
              <a:p>
                <a:pPr algn="l" rtl="0">
                  <a:defRPr sz="1000"/>
                </a:pPr>
                <a:endParaRPr lang="en-US" sz="1000" b="0" i="0" strike="noStrike">
                  <a:solidFill>
                    <a:srgbClr val="000000"/>
                  </a:solidFill>
                  <a:latin typeface="Arial"/>
                  <a:cs typeface="Arial"/>
                </a:endParaRPr>
              </a:p>
            </xdr:txBody>
          </xdr:sp>
          <xdr:sp macro="" textlink="">
            <xdr:nvSpPr>
              <xdr:cNvPr id="16" name="Text Box 11">
                <a:extLst>
                  <a:ext uri="{FF2B5EF4-FFF2-40B4-BE49-F238E27FC236}">
                    <a16:creationId xmlns:a16="http://schemas.microsoft.com/office/drawing/2014/main" id="{00000000-0008-0000-0600-000010000000}"/>
                  </a:ext>
                </a:extLst>
              </xdr:cNvPr>
              <xdr:cNvSpPr txBox="1">
                <a:spLocks noChangeArrowheads="1"/>
              </xdr:cNvSpPr>
            </xdr:nvSpPr>
            <xdr:spPr bwMode="auto">
              <a:xfrm>
                <a:off x="500" y="208"/>
                <a:ext cx="48" cy="25"/>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 (5)</a:t>
                </a:r>
              </a:p>
              <a:p>
                <a:pPr algn="l" rtl="0">
                  <a:defRPr sz="1000"/>
                </a:pPr>
                <a:endParaRPr lang="en-US" sz="1000" b="0" i="0" strike="noStrike">
                  <a:solidFill>
                    <a:srgbClr val="000000"/>
                  </a:solidFill>
                  <a:latin typeface="Arial"/>
                  <a:cs typeface="Arial"/>
                </a:endParaRPr>
              </a:p>
            </xdr:txBody>
          </xdr:sp>
          <xdr:sp macro="" textlink="">
            <xdr:nvSpPr>
              <xdr:cNvPr id="18" name="Text Box 13">
                <a:extLst>
                  <a:ext uri="{FF2B5EF4-FFF2-40B4-BE49-F238E27FC236}">
                    <a16:creationId xmlns:a16="http://schemas.microsoft.com/office/drawing/2014/main" id="{00000000-0008-0000-0600-000012000000}"/>
                  </a:ext>
                </a:extLst>
              </xdr:cNvPr>
              <xdr:cNvSpPr txBox="1">
                <a:spLocks noChangeArrowheads="1"/>
              </xdr:cNvSpPr>
            </xdr:nvSpPr>
            <xdr:spPr bwMode="auto">
              <a:xfrm>
                <a:off x="403" y="130"/>
                <a:ext cx="52"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W (7)</a:t>
                </a:r>
              </a:p>
              <a:p>
                <a:pPr algn="l" rtl="0">
                  <a:defRPr sz="1000"/>
                </a:pPr>
                <a:endParaRPr lang="en-US" sz="1000" b="0" i="0" strike="noStrike">
                  <a:solidFill>
                    <a:srgbClr val="000000"/>
                  </a:solidFill>
                  <a:latin typeface="Arial"/>
                  <a:cs typeface="Arial"/>
                </a:endParaRPr>
              </a:p>
            </xdr:txBody>
          </xdr:sp>
          <xdr:sp macro="" textlink="">
            <xdr:nvSpPr>
              <xdr:cNvPr id="20" name="AutoShape 15">
                <a:extLst>
                  <a:ext uri="{FF2B5EF4-FFF2-40B4-BE49-F238E27FC236}">
                    <a16:creationId xmlns:a16="http://schemas.microsoft.com/office/drawing/2014/main" id="{00000000-0008-0000-0600-000014000000}"/>
                  </a:ext>
                </a:extLst>
              </xdr:cNvPr>
              <xdr:cNvSpPr>
                <a:spLocks noChangeArrowheads="1"/>
              </xdr:cNvSpPr>
            </xdr:nvSpPr>
            <xdr:spPr bwMode="auto">
              <a:xfrm>
                <a:off x="631" y="183"/>
                <a:ext cx="23" cy="22"/>
              </a:xfrm>
              <a:prstGeom prst="upArrow">
                <a:avLst>
                  <a:gd name="adj1" fmla="val 50000"/>
                  <a:gd name="adj2" fmla="val 25000"/>
                </a:avLst>
              </a:prstGeom>
              <a:solidFill>
                <a:srgbClr val="BBE0E3"/>
              </a:solidFill>
              <a:ln w="9525">
                <a:solidFill>
                  <a:srgbClr val="000000"/>
                </a:solidFill>
                <a:miter lim="800000"/>
                <a:headEnd/>
                <a:tailEnd/>
              </a:ln>
            </xdr:spPr>
          </xdr:sp>
          <xdr:sp macro="" textlink="">
            <xdr:nvSpPr>
              <xdr:cNvPr id="21" name="Text Box 16">
                <a:extLst>
                  <a:ext uri="{FF2B5EF4-FFF2-40B4-BE49-F238E27FC236}">
                    <a16:creationId xmlns:a16="http://schemas.microsoft.com/office/drawing/2014/main" id="{00000000-0008-0000-0600-000015000000}"/>
                  </a:ext>
                </a:extLst>
              </xdr:cNvPr>
              <xdr:cNvSpPr txBox="1">
                <a:spLocks noChangeArrowheads="1"/>
              </xdr:cNvSpPr>
            </xdr:nvSpPr>
            <xdr:spPr bwMode="auto">
              <a:xfrm>
                <a:off x="616" y="205"/>
                <a:ext cx="52"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North</a:t>
                </a:r>
              </a:p>
              <a:p>
                <a:pPr algn="l" rtl="0">
                  <a:defRPr sz="1000"/>
                </a:pPr>
                <a:endParaRPr lang="en-US" sz="1000" b="0" i="0" strike="noStrike">
                  <a:solidFill>
                    <a:srgbClr val="000000"/>
                  </a:solidFill>
                  <a:latin typeface="Arial"/>
                  <a:cs typeface="Arial"/>
                </a:endParaRPr>
              </a:p>
            </xdr:txBody>
          </xdr:sp>
        </xdr:grpSp>
        <xdr:sp macro="" textlink="">
          <xdr:nvSpPr>
            <xdr:cNvPr id="7" name="Line 17">
              <a:extLst>
                <a:ext uri="{FF2B5EF4-FFF2-40B4-BE49-F238E27FC236}">
                  <a16:creationId xmlns:a16="http://schemas.microsoft.com/office/drawing/2014/main" id="{00000000-0008-0000-0600-000007000000}"/>
                </a:ext>
              </a:extLst>
            </xdr:cNvPr>
            <xdr:cNvSpPr>
              <a:spLocks noChangeShapeType="1"/>
            </xdr:cNvSpPr>
          </xdr:nvSpPr>
          <xdr:spPr bwMode="auto">
            <a:xfrm>
              <a:off x="517" y="80"/>
              <a:ext cx="0" cy="129"/>
            </a:xfrm>
            <a:prstGeom prst="line">
              <a:avLst/>
            </a:prstGeom>
            <a:noFill/>
            <a:ln w="57150" cap="rnd">
              <a:solidFill>
                <a:schemeClr val="tx1">
                  <a:lumMod val="85000"/>
                  <a:lumOff val="15000"/>
                </a:schemeClr>
              </a:solidFill>
              <a:prstDash val="solid"/>
              <a:round/>
              <a:headEnd/>
              <a:tailEnd/>
            </a:ln>
          </xdr:spPr>
        </xdr:sp>
      </xdr:grpSp>
      <xdr:sp macro="" textlink="">
        <xdr:nvSpPr>
          <xdr:cNvPr id="5" name="Oval 4">
            <a:extLst>
              <a:ext uri="{FF2B5EF4-FFF2-40B4-BE49-F238E27FC236}">
                <a16:creationId xmlns:a16="http://schemas.microsoft.com/office/drawing/2014/main" id="{00000000-0008-0000-0600-000005000000}"/>
              </a:ext>
            </a:extLst>
          </xdr:cNvPr>
          <xdr:cNvSpPr/>
        </xdr:nvSpPr>
        <xdr:spPr>
          <a:xfrm>
            <a:off x="4221874" y="657998"/>
            <a:ext cx="583065" cy="545448"/>
          </a:xfrm>
          <a:prstGeom prst="ellipse">
            <a:avLst/>
          </a:prstGeom>
          <a:gradFill flip="none" rotWithShape="1">
            <a:gsLst>
              <a:gs pos="0">
                <a:schemeClr val="accent3">
                  <a:shade val="30000"/>
                  <a:satMod val="115000"/>
                </a:schemeClr>
              </a:gs>
              <a:gs pos="50000">
                <a:schemeClr val="accent3">
                  <a:shade val="67500"/>
                  <a:satMod val="115000"/>
                </a:schemeClr>
              </a:gs>
              <a:gs pos="100000">
                <a:schemeClr val="accent3">
                  <a:shade val="100000"/>
                  <a:satMod val="115000"/>
                </a:schemeClr>
              </a:gs>
            </a:gsLst>
            <a:lin ang="16200000" scaled="1"/>
            <a:tileRect/>
          </a:gradFill>
          <a:ln w="76200">
            <a:solidFill>
              <a:schemeClr val="tx1">
                <a:lumMod val="85000"/>
                <a:lumOff val="15000"/>
              </a:schemeClr>
            </a:solidFill>
          </a:ln>
        </xdr:spPr>
        <xdr:style>
          <a:lnRef idx="3">
            <a:schemeClr val="lt1"/>
          </a:lnRef>
          <a:fillRef idx="1">
            <a:schemeClr val="accent3"/>
          </a:fillRef>
          <a:effectRef idx="1">
            <a:schemeClr val="accent3"/>
          </a:effectRef>
          <a:fontRef idx="minor">
            <a:schemeClr val="lt1"/>
          </a:fontRef>
        </xdr:style>
        <xdr:txBody>
          <a:bodyPr rtlCol="0" anchor="ctr"/>
          <a:lstStyle/>
          <a:p>
            <a:pPr algn="ctr"/>
            <a:endParaRPr lang="en-US" sz="1100"/>
          </a:p>
        </xdr:txBody>
      </xdr:sp>
    </xdr:grpSp>
    <xdr:clientData/>
  </xdr:twoCellAnchor>
  <xdr:twoCellAnchor>
    <xdr:from>
      <xdr:col>9</xdr:col>
      <xdr:colOff>142875</xdr:colOff>
      <xdr:row>12</xdr:row>
      <xdr:rowOff>180975</xdr:rowOff>
    </xdr:from>
    <xdr:to>
      <xdr:col>11</xdr:col>
      <xdr:colOff>581024</xdr:colOff>
      <xdr:row>18</xdr:row>
      <xdr:rowOff>19050</xdr:rowOff>
    </xdr:to>
    <xdr:sp macro="" textlink="">
      <xdr:nvSpPr>
        <xdr:cNvPr id="22" name="TextBox 21">
          <a:extLst>
            <a:ext uri="{FF2B5EF4-FFF2-40B4-BE49-F238E27FC236}">
              <a16:creationId xmlns:a16="http://schemas.microsoft.com/office/drawing/2014/main" id="{00000000-0008-0000-0600-000016000000}"/>
            </a:ext>
          </a:extLst>
        </xdr:cNvPr>
        <xdr:cNvSpPr txBox="1"/>
      </xdr:nvSpPr>
      <xdr:spPr>
        <a:xfrm>
          <a:off x="6153150" y="2505075"/>
          <a:ext cx="2152649" cy="828675"/>
        </a:xfrm>
        <a:prstGeom prst="wedgeRectCallout">
          <a:avLst>
            <a:gd name="adj1" fmla="val -56736"/>
            <a:gd name="adj2" fmla="val 4226"/>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Peak</a:t>
          </a:r>
          <a:r>
            <a:rPr lang="en-US" sz="1100" b="1" i="1" baseline="0"/>
            <a:t> Hour </a:t>
          </a:r>
          <a:r>
            <a:rPr lang="en-US" sz="1100" b="1" i="1"/>
            <a:t>Volumes into Blue Spaces.  </a:t>
          </a:r>
        </a:p>
        <a:p>
          <a:pPr algn="l"/>
          <a:r>
            <a:rPr lang="en-US" sz="1100" b="1" i="1"/>
            <a:t>See</a:t>
          </a:r>
          <a:r>
            <a:rPr lang="en-US" sz="1100" b="1" i="1" baseline="0"/>
            <a:t> </a:t>
          </a:r>
          <a:r>
            <a:rPr lang="en-US" sz="1100" b="1" i="1" u="sng" baseline="0"/>
            <a:t>Instructions</a:t>
          </a:r>
          <a:r>
            <a:rPr lang="en-US" sz="1100" b="1" i="1" baseline="0"/>
            <a:t> tab for further instructions on volume input.</a:t>
          </a:r>
          <a:endParaRPr lang="en-US" sz="1050" i="1"/>
        </a:p>
      </xdr:txBody>
    </xdr:sp>
    <xdr:clientData/>
  </xdr:twoCellAnchor>
  <xdr:twoCellAnchor>
    <xdr:from>
      <xdr:col>9</xdr:col>
      <xdr:colOff>133350</xdr:colOff>
      <xdr:row>77</xdr:row>
      <xdr:rowOff>95251</xdr:rowOff>
    </xdr:from>
    <xdr:to>
      <xdr:col>12</xdr:col>
      <xdr:colOff>323850</xdr:colOff>
      <xdr:row>80</xdr:row>
      <xdr:rowOff>95250</xdr:rowOff>
    </xdr:to>
    <xdr:sp macro="" textlink="">
      <xdr:nvSpPr>
        <xdr:cNvPr id="23" name="TextBox 22">
          <a:extLst>
            <a:ext uri="{FF2B5EF4-FFF2-40B4-BE49-F238E27FC236}">
              <a16:creationId xmlns:a16="http://schemas.microsoft.com/office/drawing/2014/main" id="{00000000-0008-0000-0600-000017000000}"/>
            </a:ext>
          </a:extLst>
        </xdr:cNvPr>
        <xdr:cNvSpPr txBox="1"/>
      </xdr:nvSpPr>
      <xdr:spPr>
        <a:xfrm>
          <a:off x="6143625" y="8439151"/>
          <a:ext cx="2514600" cy="590549"/>
        </a:xfrm>
        <a:prstGeom prst="borderCallout2">
          <a:avLst>
            <a:gd name="adj1" fmla="val 15275"/>
            <a:gd name="adj2" fmla="val -242"/>
            <a:gd name="adj3" fmla="val 33514"/>
            <a:gd name="adj4" fmla="val -11592"/>
            <a:gd name="adj5" fmla="val 35083"/>
            <a:gd name="adj6" fmla="val -114192"/>
          </a:avLst>
        </a:prstGeom>
        <a:solidFill>
          <a:schemeClr val="accent4">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An Urban Compact roundabout</a:t>
          </a:r>
          <a:r>
            <a:rPr lang="en-US" sz="1100" b="1" i="1" baseline="0"/>
            <a:t> type would need a fully mountable island if there are significant truck volumes.</a:t>
          </a:r>
          <a:endParaRPr lang="en-US" sz="1050" b="1" i="1"/>
        </a:p>
      </xdr:txBody>
    </xdr:sp>
    <xdr:clientData/>
  </xdr:twoCellAnchor>
  <xdr:twoCellAnchor>
    <xdr:from>
      <xdr:col>9</xdr:col>
      <xdr:colOff>247650</xdr:colOff>
      <xdr:row>19</xdr:row>
      <xdr:rowOff>85725</xdr:rowOff>
    </xdr:from>
    <xdr:to>
      <xdr:col>11</xdr:col>
      <xdr:colOff>466725</xdr:colOff>
      <xdr:row>22</xdr:row>
      <xdr:rowOff>85725</xdr:rowOff>
    </xdr:to>
    <xdr:sp macro="" textlink="">
      <xdr:nvSpPr>
        <xdr:cNvPr id="24" name="TextBox 23">
          <a:extLst>
            <a:ext uri="{FF2B5EF4-FFF2-40B4-BE49-F238E27FC236}">
              <a16:creationId xmlns:a16="http://schemas.microsoft.com/office/drawing/2014/main" id="{00000000-0008-0000-0600-000018000000}"/>
            </a:ext>
          </a:extLst>
        </xdr:cNvPr>
        <xdr:cNvSpPr txBox="1"/>
      </xdr:nvSpPr>
      <xdr:spPr>
        <a:xfrm>
          <a:off x="6257925" y="3590925"/>
          <a:ext cx="1933575" cy="571500"/>
        </a:xfrm>
        <a:prstGeom prst="wedgeRectCallout">
          <a:avLst>
            <a:gd name="adj1" fmla="val 56784"/>
            <a:gd name="adj2" fmla="val 20650"/>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050" b="1" i="1"/>
            <a:t>If the</a:t>
          </a:r>
          <a:r>
            <a:rPr lang="en-US" sz="1050" b="1" i="1" baseline="0"/>
            <a:t> Vehicle Equivalency Factors vary from the defaults, modify them in this table.</a:t>
          </a:r>
          <a:endParaRPr lang="en-US" sz="1050" b="1" i="1"/>
        </a:p>
      </xdr:txBody>
    </xdr:sp>
    <xdr:clientData/>
  </xdr:twoCellAnchor>
  <xdr:twoCellAnchor>
    <xdr:from>
      <xdr:col>9</xdr:col>
      <xdr:colOff>238125</xdr:colOff>
      <xdr:row>61</xdr:row>
      <xdr:rowOff>47626</xdr:rowOff>
    </xdr:from>
    <xdr:to>
      <xdr:col>11</xdr:col>
      <xdr:colOff>400049</xdr:colOff>
      <xdr:row>65</xdr:row>
      <xdr:rowOff>19051</xdr:rowOff>
    </xdr:to>
    <xdr:sp macro="" textlink="">
      <xdr:nvSpPr>
        <xdr:cNvPr id="25" name="TextBox 24">
          <a:extLst>
            <a:ext uri="{FF2B5EF4-FFF2-40B4-BE49-F238E27FC236}">
              <a16:creationId xmlns:a16="http://schemas.microsoft.com/office/drawing/2014/main" id="{00000000-0008-0000-0600-000019000000}"/>
            </a:ext>
          </a:extLst>
        </xdr:cNvPr>
        <xdr:cNvSpPr txBox="1"/>
      </xdr:nvSpPr>
      <xdr:spPr>
        <a:xfrm>
          <a:off x="6248400" y="5276851"/>
          <a:ext cx="1876424" cy="781050"/>
        </a:xfrm>
        <a:prstGeom prst="wedgeRectCallout">
          <a:avLst>
            <a:gd name="adj1" fmla="val -64108"/>
            <a:gd name="adj2" fmla="val -44562"/>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PHF for every approach.</a:t>
          </a:r>
          <a:r>
            <a:rPr lang="en-US" sz="1050" b="1" i="1" baseline="0"/>
            <a:t>  The defaults are:</a:t>
          </a:r>
        </a:p>
        <a:p>
          <a:pPr algn="l"/>
          <a:r>
            <a:rPr lang="en-US" sz="1050" b="1" i="1" baseline="0"/>
            <a:t>Urban Area = .92</a:t>
          </a:r>
        </a:p>
        <a:p>
          <a:pPr algn="l"/>
          <a:r>
            <a:rPr lang="en-US" sz="1050" b="1" i="1" baseline="0"/>
            <a:t>Rural Area = .88</a:t>
          </a:r>
        </a:p>
      </xdr:txBody>
    </xdr:sp>
    <xdr:clientData/>
  </xdr:twoCellAnchor>
  <xdr:twoCellAnchor>
    <xdr:from>
      <xdr:col>9</xdr:col>
      <xdr:colOff>152399</xdr:colOff>
      <xdr:row>82</xdr:row>
      <xdr:rowOff>142874</xdr:rowOff>
    </xdr:from>
    <xdr:to>
      <xdr:col>12</xdr:col>
      <xdr:colOff>771524</xdr:colOff>
      <xdr:row>103</xdr:row>
      <xdr:rowOff>0</xdr:rowOff>
    </xdr:to>
    <xdr:sp macro="" textlink="">
      <xdr:nvSpPr>
        <xdr:cNvPr id="26" name="TextBox 25">
          <a:extLst>
            <a:ext uri="{FF2B5EF4-FFF2-40B4-BE49-F238E27FC236}">
              <a16:creationId xmlns:a16="http://schemas.microsoft.com/office/drawing/2014/main" id="{00000000-0008-0000-0600-00001A000000}"/>
            </a:ext>
          </a:extLst>
        </xdr:cNvPr>
        <xdr:cNvSpPr txBox="1"/>
      </xdr:nvSpPr>
      <xdr:spPr>
        <a:xfrm>
          <a:off x="6162674" y="9467849"/>
          <a:ext cx="2943225" cy="2952751"/>
        </a:xfrm>
        <a:prstGeom prst="wedgeRectCallout">
          <a:avLst>
            <a:gd name="adj1" fmla="val -55190"/>
            <a:gd name="adj2" fmla="val -57944"/>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baseline="0"/>
            <a:t>When an approach </a:t>
          </a:r>
          <a:r>
            <a:rPr lang="en-US" sz="1100" b="1" i="1" baseline="0">
              <a:solidFill>
                <a:srgbClr val="FF0000"/>
              </a:solidFill>
            </a:rPr>
            <a:t>yields an unacceptable</a:t>
          </a:r>
          <a:r>
            <a:rPr lang="en-US" sz="1100" b="1" i="1" baseline="0"/>
            <a:t>  measure of effectiveness result (V/C ratio, Control Delay, or Queue Length):</a:t>
          </a:r>
        </a:p>
        <a:p>
          <a:pPr algn="l"/>
          <a:r>
            <a:rPr lang="en-US" sz="1100" b="1" i="1" baseline="0"/>
            <a:t>-  Consider adding a Right Turn Bypass Lane</a:t>
          </a:r>
        </a:p>
        <a:p>
          <a:pPr algn="l"/>
          <a:r>
            <a:rPr lang="en-US" sz="1100" b="1" i="1" baseline="0"/>
            <a:t>-  Consider analyzing a Mult-lane Roundabout</a:t>
          </a:r>
        </a:p>
        <a:p>
          <a:endParaRPr lang="en-US" sz="1100" b="1" i="1">
            <a:solidFill>
              <a:schemeClr val="dk1"/>
            </a:solidFill>
            <a:latin typeface="+mn-lt"/>
            <a:ea typeface="+mn-ea"/>
            <a:cs typeface="+mn-cs"/>
          </a:endParaRPr>
        </a:p>
        <a:p>
          <a:r>
            <a:rPr lang="en-US" sz="1100" b="1" i="1">
              <a:solidFill>
                <a:schemeClr val="dk1"/>
              </a:solidFill>
              <a:latin typeface="+mn-lt"/>
              <a:ea typeface="+mn-ea"/>
              <a:cs typeface="+mn-cs"/>
            </a:rPr>
            <a:t>Note:  The NCHRP-572</a:t>
          </a:r>
          <a:r>
            <a:rPr lang="en-US" sz="1100" b="1" i="1" baseline="0">
              <a:solidFill>
                <a:schemeClr val="dk1"/>
              </a:solidFill>
              <a:latin typeface="+mn-lt"/>
              <a:ea typeface="+mn-ea"/>
              <a:cs typeface="+mn-cs"/>
            </a:rPr>
            <a:t> formula yields a conservative Entry Capacity and is best applied to the present year when driver familiarity is low; while the UK formula yields a liberal Entry Capacity and is best applied in the future year when driver familiarity has increased.  Engineering Judgement should be used when interepreting the results.  </a:t>
          </a:r>
          <a:endParaRPr lang="en-US"/>
        </a:p>
        <a:p>
          <a:r>
            <a:rPr lang="en-US" sz="1100" b="1" i="1">
              <a:solidFill>
                <a:schemeClr val="dk1"/>
              </a:solidFill>
              <a:latin typeface="+mn-lt"/>
              <a:ea typeface="+mn-ea"/>
              <a:cs typeface="+mn-cs"/>
            </a:rPr>
            <a:t>See</a:t>
          </a:r>
          <a:r>
            <a:rPr lang="en-US" sz="1100" b="1" i="1" baseline="0">
              <a:solidFill>
                <a:schemeClr val="dk1"/>
              </a:solidFill>
              <a:latin typeface="+mn-lt"/>
              <a:ea typeface="+mn-ea"/>
              <a:cs typeface="+mn-cs"/>
            </a:rPr>
            <a:t> the "INSTRUCTIONS" Tab for further details.</a:t>
          </a:r>
          <a:endParaRPr lang="en-US" sz="1100" b="1" i="1">
            <a:solidFill>
              <a:schemeClr val="dk1"/>
            </a:solidFill>
            <a:latin typeface="+mn-lt"/>
            <a:ea typeface="+mn-ea"/>
            <a:cs typeface="+mn-cs"/>
          </a:endParaRPr>
        </a:p>
        <a:p>
          <a:pPr algn="l"/>
          <a:endParaRPr lang="en-US" sz="1100" b="1" i="1" baseline="0"/>
        </a:p>
      </xdr:txBody>
    </xdr:sp>
    <xdr:clientData/>
  </xdr:twoCellAnchor>
  <xdr:twoCellAnchor>
    <xdr:from>
      <xdr:col>9</xdr:col>
      <xdr:colOff>257174</xdr:colOff>
      <xdr:row>117</xdr:row>
      <xdr:rowOff>85725</xdr:rowOff>
    </xdr:from>
    <xdr:to>
      <xdr:col>12</xdr:col>
      <xdr:colOff>723900</xdr:colOff>
      <xdr:row>119</xdr:row>
      <xdr:rowOff>85725</xdr:rowOff>
    </xdr:to>
    <xdr:sp macro="" textlink="">
      <xdr:nvSpPr>
        <xdr:cNvPr id="27" name="TextBox 26">
          <a:extLst>
            <a:ext uri="{FF2B5EF4-FFF2-40B4-BE49-F238E27FC236}">
              <a16:creationId xmlns:a16="http://schemas.microsoft.com/office/drawing/2014/main" id="{00000000-0008-0000-0600-00001B000000}"/>
            </a:ext>
          </a:extLst>
        </xdr:cNvPr>
        <xdr:cNvSpPr txBox="1"/>
      </xdr:nvSpPr>
      <xdr:spPr>
        <a:xfrm>
          <a:off x="6267449" y="15230475"/>
          <a:ext cx="2790826" cy="428625"/>
        </a:xfrm>
        <a:prstGeom prst="wedgeRectCallout">
          <a:avLst>
            <a:gd name="adj1" fmla="val -59299"/>
            <a:gd name="adj2" fmla="val -4400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Insert the</a:t>
          </a:r>
          <a:r>
            <a:rPr lang="en-US" sz="1100" b="1" i="1" baseline="0"/>
            <a:t> Right Turn Volume from the Entry Leg and remove the RT Volume above.</a:t>
          </a:r>
          <a:endParaRPr lang="en-US" sz="1050" i="1"/>
        </a:p>
      </xdr:txBody>
    </xdr:sp>
    <xdr:clientData/>
  </xdr:twoCellAnchor>
  <xdr:twoCellAnchor>
    <xdr:from>
      <xdr:col>9</xdr:col>
      <xdr:colOff>228600</xdr:colOff>
      <xdr:row>114</xdr:row>
      <xdr:rowOff>1</xdr:rowOff>
    </xdr:from>
    <xdr:to>
      <xdr:col>12</xdr:col>
      <xdr:colOff>647700</xdr:colOff>
      <xdr:row>116</xdr:row>
      <xdr:rowOff>57150</xdr:rowOff>
    </xdr:to>
    <xdr:sp macro="" textlink="">
      <xdr:nvSpPr>
        <xdr:cNvPr id="28" name="TextBox 27">
          <a:extLst>
            <a:ext uri="{FF2B5EF4-FFF2-40B4-BE49-F238E27FC236}">
              <a16:creationId xmlns:a16="http://schemas.microsoft.com/office/drawing/2014/main" id="{00000000-0008-0000-0600-00001C000000}"/>
            </a:ext>
          </a:extLst>
        </xdr:cNvPr>
        <xdr:cNvSpPr txBox="1"/>
      </xdr:nvSpPr>
      <xdr:spPr>
        <a:xfrm>
          <a:off x="6238875" y="14573251"/>
          <a:ext cx="2743200" cy="438149"/>
        </a:xfrm>
        <a:prstGeom prst="wedgeRectCallout">
          <a:avLst>
            <a:gd name="adj1" fmla="val -58702"/>
            <a:gd name="adj2" fmla="val -3331"/>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Select Entry</a:t>
          </a:r>
          <a:r>
            <a:rPr lang="en-US" sz="1100" b="1" i="1" baseline="0"/>
            <a:t> &amp; Exit Leg for the given bypass from the pulldown button.</a:t>
          </a:r>
          <a:endParaRPr lang="en-US" sz="1050" i="1"/>
        </a:p>
      </xdr:txBody>
    </xdr:sp>
    <xdr:clientData/>
  </xdr:twoCellAnchor>
  <xdr:twoCellAnchor>
    <xdr:from>
      <xdr:col>9</xdr:col>
      <xdr:colOff>409575</xdr:colOff>
      <xdr:row>125</xdr:row>
      <xdr:rowOff>104777</xdr:rowOff>
    </xdr:from>
    <xdr:to>
      <xdr:col>12</xdr:col>
      <xdr:colOff>800100</xdr:colOff>
      <xdr:row>135</xdr:row>
      <xdr:rowOff>66675</xdr:rowOff>
    </xdr:to>
    <xdr:sp macro="" textlink="">
      <xdr:nvSpPr>
        <xdr:cNvPr id="29" name="TextBox 28">
          <a:extLst>
            <a:ext uri="{FF2B5EF4-FFF2-40B4-BE49-F238E27FC236}">
              <a16:creationId xmlns:a16="http://schemas.microsoft.com/office/drawing/2014/main" id="{00000000-0008-0000-0600-00001D000000}"/>
            </a:ext>
          </a:extLst>
        </xdr:cNvPr>
        <xdr:cNvSpPr txBox="1"/>
      </xdr:nvSpPr>
      <xdr:spPr>
        <a:xfrm>
          <a:off x="6419850" y="16830677"/>
          <a:ext cx="2714625" cy="1314448"/>
        </a:xfrm>
        <a:prstGeom prst="wedgeRectCallout">
          <a:avLst>
            <a:gd name="adj1" fmla="val -65745"/>
            <a:gd name="adj2" fmla="val -34110"/>
          </a:avLst>
        </a:prstGeom>
        <a:solidFill>
          <a:schemeClr val="tx2">
            <a:lumMod val="40000"/>
            <a:lumOff val="6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a:r>
            <a:rPr lang="en-US" sz="1100" b="1" i="1"/>
            <a:t>Note:  The</a:t>
          </a:r>
          <a:r>
            <a:rPr lang="en-US" sz="1100" b="1" i="1" baseline="0"/>
            <a:t> bypass lane analysis assumes the merge point is a </a:t>
          </a:r>
          <a:r>
            <a:rPr lang="en-US" sz="1100" b="1" i="1" baseline="0">
              <a:solidFill>
                <a:srgbClr val="C00000"/>
              </a:solidFill>
            </a:rPr>
            <a:t>Yield</a:t>
          </a:r>
          <a:r>
            <a:rPr lang="en-US" sz="1100" b="1" i="1" baseline="0"/>
            <a:t> condition.</a:t>
          </a:r>
        </a:p>
        <a:p>
          <a:pPr algn="l"/>
          <a:endParaRPr lang="en-US" sz="1100" b="1" i="1" baseline="0"/>
        </a:p>
        <a:p>
          <a:pPr algn="l"/>
          <a:r>
            <a:rPr lang="en-US" sz="1100" b="1" i="1" baseline="0"/>
            <a:t>If there is a full receiving lane  allowing freeflow for RT traffic, use engineering judgement to determine the bypass results.</a:t>
          </a:r>
        </a:p>
        <a:p>
          <a:pPr algn="l"/>
          <a:endParaRPr lang="en-US" sz="1100" b="1" i="1" baseline="0"/>
        </a:p>
        <a:p>
          <a:pPr algn="l"/>
          <a:endParaRPr lang="en-US" sz="1050" b="1" i="1"/>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10363</xdr:colOff>
      <xdr:row>9</xdr:row>
      <xdr:rowOff>16145</xdr:rowOff>
    </xdr:from>
    <xdr:to>
      <xdr:col>18</xdr:col>
      <xdr:colOff>2126</xdr:colOff>
      <xdr:row>25</xdr:row>
      <xdr:rowOff>98260</xdr:rowOff>
    </xdr:to>
    <xdr:grpSp>
      <xdr:nvGrpSpPr>
        <xdr:cNvPr id="2" name="Group 1">
          <a:extLst>
            <a:ext uri="{FF2B5EF4-FFF2-40B4-BE49-F238E27FC236}">
              <a16:creationId xmlns:a16="http://schemas.microsoft.com/office/drawing/2014/main" id="{00000000-0008-0000-0700-000002000000}"/>
            </a:ext>
          </a:extLst>
        </xdr:cNvPr>
        <xdr:cNvGrpSpPr>
          <a:grpSpLocks/>
        </xdr:cNvGrpSpPr>
      </xdr:nvGrpSpPr>
      <xdr:grpSpPr bwMode="auto">
        <a:xfrm>
          <a:off x="1244472" y="2310428"/>
          <a:ext cx="3536719" cy="2724267"/>
          <a:chOff x="294" y="38"/>
          <a:chExt cx="417" cy="193"/>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294" y="38"/>
            <a:ext cx="417" cy="193"/>
          </a:xfrm>
          <a:prstGeom prst="rect">
            <a:avLst/>
          </a:prstGeom>
          <a:solidFill>
            <a:srgbClr val="FFFFFF"/>
          </a:solidFill>
          <a:ln w="12700">
            <a:solidFill>
              <a:srgbClr val="000000"/>
            </a:solidFill>
            <a:miter lim="800000"/>
            <a:headEnd/>
            <a:tailEnd/>
          </a:ln>
        </xdr:spPr>
      </xdr:sp>
      <xdr:sp macro="" textlink="">
        <xdr:nvSpPr>
          <xdr:cNvPr id="4" name="Line 5">
            <a:extLst>
              <a:ext uri="{FF2B5EF4-FFF2-40B4-BE49-F238E27FC236}">
                <a16:creationId xmlns:a16="http://schemas.microsoft.com/office/drawing/2014/main" id="{00000000-0008-0000-0700-000004000000}"/>
              </a:ext>
            </a:extLst>
          </xdr:cNvPr>
          <xdr:cNvSpPr>
            <a:spLocks noChangeShapeType="1"/>
          </xdr:cNvSpPr>
        </xdr:nvSpPr>
        <xdr:spPr bwMode="auto">
          <a:xfrm rot="2835075" flipH="1">
            <a:off x="494" y="-2"/>
            <a:ext cx="24" cy="275"/>
          </a:xfrm>
          <a:prstGeom prst="line">
            <a:avLst/>
          </a:prstGeom>
          <a:ln w="57150">
            <a:solidFill>
              <a:schemeClr val="bg1">
                <a:lumMod val="75000"/>
              </a:schemeClr>
            </a:solidFill>
            <a:headEnd/>
            <a:tailEnd/>
          </a:ln>
        </xdr:spPr>
        <xdr:style>
          <a:lnRef idx="2">
            <a:schemeClr val="dk1"/>
          </a:lnRef>
          <a:fillRef idx="0">
            <a:schemeClr val="dk1"/>
          </a:fillRef>
          <a:effectRef idx="1">
            <a:schemeClr val="dk1"/>
          </a:effectRef>
          <a:fontRef idx="minor">
            <a:schemeClr val="tx1"/>
          </a:fontRef>
        </xdr:style>
      </xdr:sp>
      <xdr:sp macro="" textlink="">
        <xdr:nvSpPr>
          <xdr:cNvPr id="5" name="Line 6">
            <a:extLst>
              <a:ext uri="{FF2B5EF4-FFF2-40B4-BE49-F238E27FC236}">
                <a16:creationId xmlns:a16="http://schemas.microsoft.com/office/drawing/2014/main" id="{00000000-0008-0000-0700-000005000000}"/>
              </a:ext>
            </a:extLst>
          </xdr:cNvPr>
          <xdr:cNvSpPr>
            <a:spLocks noChangeShapeType="1"/>
          </xdr:cNvSpPr>
        </xdr:nvSpPr>
        <xdr:spPr bwMode="auto">
          <a:xfrm rot="18697019">
            <a:off x="493" y="-6"/>
            <a:ext cx="23" cy="283"/>
          </a:xfrm>
          <a:prstGeom prst="line">
            <a:avLst/>
          </a:prstGeom>
          <a:ln w="57150">
            <a:solidFill>
              <a:schemeClr val="bg1">
                <a:lumMod val="75000"/>
              </a:schemeClr>
            </a:solidFill>
            <a:headEnd/>
            <a:tailEnd/>
          </a:ln>
        </xdr:spPr>
        <xdr:style>
          <a:lnRef idx="2">
            <a:schemeClr val="dk1"/>
          </a:lnRef>
          <a:fillRef idx="0">
            <a:schemeClr val="dk1"/>
          </a:fillRef>
          <a:effectRef idx="1">
            <a:schemeClr val="dk1"/>
          </a:effectRef>
          <a:fontRef idx="minor">
            <a:schemeClr val="tx1"/>
          </a:fontRef>
        </xdr:style>
      </xdr:sp>
      <xdr:sp macro="" textlink="">
        <xdr:nvSpPr>
          <xdr:cNvPr id="6" name="Text Box 7">
            <a:extLst>
              <a:ext uri="{FF2B5EF4-FFF2-40B4-BE49-F238E27FC236}">
                <a16:creationId xmlns:a16="http://schemas.microsoft.com/office/drawing/2014/main" id="{00000000-0008-0000-0700-000006000000}"/>
              </a:ext>
            </a:extLst>
          </xdr:cNvPr>
          <xdr:cNvSpPr txBox="1">
            <a:spLocks noChangeArrowheads="1"/>
          </xdr:cNvSpPr>
        </xdr:nvSpPr>
        <xdr:spPr bwMode="auto">
          <a:xfrm>
            <a:off x="504" y="77"/>
            <a:ext cx="4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 </a:t>
            </a:r>
          </a:p>
          <a:p>
            <a:pPr algn="l" rtl="0">
              <a:defRPr sz="1000"/>
            </a:pPr>
            <a:endParaRPr lang="en-US" sz="1000" b="0" i="0" strike="noStrike">
              <a:solidFill>
                <a:srgbClr val="000000"/>
              </a:solidFill>
              <a:latin typeface="Arial"/>
              <a:cs typeface="Arial"/>
            </a:endParaRPr>
          </a:p>
        </xdr:txBody>
      </xdr:sp>
      <xdr:sp macro="" textlink="">
        <xdr:nvSpPr>
          <xdr:cNvPr id="7" name="Text Box 8">
            <a:extLst>
              <a:ext uri="{FF2B5EF4-FFF2-40B4-BE49-F238E27FC236}">
                <a16:creationId xmlns:a16="http://schemas.microsoft.com/office/drawing/2014/main" id="{00000000-0008-0000-0700-000007000000}"/>
              </a:ext>
            </a:extLst>
          </xdr:cNvPr>
          <xdr:cNvSpPr txBox="1">
            <a:spLocks noChangeArrowheads="1"/>
          </xdr:cNvSpPr>
        </xdr:nvSpPr>
        <xdr:spPr bwMode="auto">
          <a:xfrm>
            <a:off x="594" y="162"/>
            <a:ext cx="57"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SE (4)</a:t>
            </a:r>
          </a:p>
          <a:p>
            <a:pPr algn="l" rtl="0">
              <a:defRPr sz="1000"/>
            </a:pPr>
            <a:endParaRPr lang="en-US" sz="1000" b="0" i="0" strike="noStrike">
              <a:solidFill>
                <a:srgbClr val="000000"/>
              </a:solidFill>
              <a:latin typeface="Arial"/>
              <a:cs typeface="Arial"/>
            </a:endParaRPr>
          </a:p>
        </xdr:txBody>
      </xdr:sp>
      <xdr:sp macro="" textlink="">
        <xdr:nvSpPr>
          <xdr:cNvPr id="8" name="Text Box 9">
            <a:extLst>
              <a:ext uri="{FF2B5EF4-FFF2-40B4-BE49-F238E27FC236}">
                <a16:creationId xmlns:a16="http://schemas.microsoft.com/office/drawing/2014/main" id="{00000000-0008-0000-0700-000008000000}"/>
              </a:ext>
            </a:extLst>
          </xdr:cNvPr>
          <xdr:cNvSpPr txBox="1">
            <a:spLocks noChangeArrowheads="1"/>
          </xdr:cNvSpPr>
        </xdr:nvSpPr>
        <xdr:spPr bwMode="auto">
          <a:xfrm>
            <a:off x="573" y="77"/>
            <a:ext cx="58" cy="26"/>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NE (2)</a:t>
            </a:r>
          </a:p>
          <a:p>
            <a:pPr algn="l" rtl="0">
              <a:defRPr sz="1000"/>
            </a:pPr>
            <a:endParaRPr lang="en-US" sz="1000" b="0" i="0" strike="noStrike">
              <a:solidFill>
                <a:srgbClr val="000000"/>
              </a:solidFill>
              <a:latin typeface="Arial"/>
              <a:cs typeface="Arial"/>
            </a:endParaRPr>
          </a:p>
        </xdr:txBody>
      </xdr:sp>
      <xdr:sp macro="" textlink="">
        <xdr:nvSpPr>
          <xdr:cNvPr id="9" name="Text Box 10">
            <a:extLst>
              <a:ext uri="{FF2B5EF4-FFF2-40B4-BE49-F238E27FC236}">
                <a16:creationId xmlns:a16="http://schemas.microsoft.com/office/drawing/2014/main" id="{00000000-0008-0000-0700-000009000000}"/>
              </a:ext>
            </a:extLst>
          </xdr:cNvPr>
          <xdr:cNvSpPr txBox="1">
            <a:spLocks noChangeArrowheads="1"/>
          </xdr:cNvSpPr>
        </xdr:nvSpPr>
        <xdr:spPr bwMode="auto">
          <a:xfrm>
            <a:off x="601" y="117"/>
            <a:ext cx="48"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E</a:t>
            </a:r>
          </a:p>
          <a:p>
            <a:pPr algn="l" rtl="0">
              <a:defRPr sz="1000"/>
            </a:pPr>
            <a:endParaRPr lang="en-US" sz="1000" b="0" i="0" strike="noStrike">
              <a:solidFill>
                <a:srgbClr val="000000"/>
              </a:solidFill>
              <a:latin typeface="Arial"/>
              <a:cs typeface="Arial"/>
            </a:endParaRPr>
          </a:p>
        </xdr:txBody>
      </xdr:sp>
      <xdr:sp macro="" textlink="">
        <xdr:nvSpPr>
          <xdr:cNvPr id="10" name="Text Box 11">
            <a:extLst>
              <a:ext uri="{FF2B5EF4-FFF2-40B4-BE49-F238E27FC236}">
                <a16:creationId xmlns:a16="http://schemas.microsoft.com/office/drawing/2014/main" id="{00000000-0008-0000-0700-00000A000000}"/>
              </a:ext>
            </a:extLst>
          </xdr:cNvPr>
          <xdr:cNvSpPr txBox="1">
            <a:spLocks noChangeArrowheads="1"/>
          </xdr:cNvSpPr>
        </xdr:nvSpPr>
        <xdr:spPr bwMode="auto">
          <a:xfrm>
            <a:off x="502" y="175"/>
            <a:ext cx="48"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 (5)</a:t>
            </a:r>
          </a:p>
          <a:p>
            <a:pPr algn="l" rtl="0">
              <a:defRPr sz="1000"/>
            </a:pPr>
            <a:endParaRPr lang="en-US" sz="1000" b="0" i="0" strike="noStrike">
              <a:solidFill>
                <a:srgbClr val="000000"/>
              </a:solidFill>
              <a:latin typeface="Arial"/>
              <a:cs typeface="Arial"/>
            </a:endParaRPr>
          </a:p>
        </xdr:txBody>
      </xdr:sp>
      <xdr:sp macro="" textlink="">
        <xdr:nvSpPr>
          <xdr:cNvPr id="11" name="Text Box 12">
            <a:extLst>
              <a:ext uri="{FF2B5EF4-FFF2-40B4-BE49-F238E27FC236}">
                <a16:creationId xmlns:a16="http://schemas.microsoft.com/office/drawing/2014/main" id="{00000000-0008-0000-0700-00000B000000}"/>
              </a:ext>
            </a:extLst>
          </xdr:cNvPr>
          <xdr:cNvSpPr txBox="1">
            <a:spLocks noChangeArrowheads="1"/>
          </xdr:cNvSpPr>
        </xdr:nvSpPr>
        <xdr:spPr bwMode="auto">
          <a:xfrm>
            <a:off x="403" y="176"/>
            <a:ext cx="5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SW </a:t>
            </a:r>
          </a:p>
          <a:p>
            <a:pPr algn="l" rtl="0">
              <a:defRPr sz="1000"/>
            </a:pPr>
            <a:endParaRPr lang="en-US" sz="1000" b="0" i="0" strike="noStrike">
              <a:solidFill>
                <a:srgbClr val="000000"/>
              </a:solidFill>
              <a:latin typeface="Arial"/>
              <a:cs typeface="Arial"/>
            </a:endParaRPr>
          </a:p>
        </xdr:txBody>
      </xdr:sp>
      <xdr:sp macro="" textlink="">
        <xdr:nvSpPr>
          <xdr:cNvPr id="12" name="Text Box 13">
            <a:extLst>
              <a:ext uri="{FF2B5EF4-FFF2-40B4-BE49-F238E27FC236}">
                <a16:creationId xmlns:a16="http://schemas.microsoft.com/office/drawing/2014/main" id="{00000000-0008-0000-0700-00000C000000}"/>
              </a:ext>
            </a:extLst>
          </xdr:cNvPr>
          <xdr:cNvSpPr txBox="1">
            <a:spLocks noChangeArrowheads="1"/>
          </xdr:cNvSpPr>
        </xdr:nvSpPr>
        <xdr:spPr bwMode="auto">
          <a:xfrm>
            <a:off x="370" y="117"/>
            <a:ext cx="52"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W </a:t>
            </a:r>
          </a:p>
        </xdr:txBody>
      </xdr:sp>
      <xdr:sp macro="" textlink="">
        <xdr:nvSpPr>
          <xdr:cNvPr id="13" name="Text Box 14">
            <a:extLst>
              <a:ext uri="{FF2B5EF4-FFF2-40B4-BE49-F238E27FC236}">
                <a16:creationId xmlns:a16="http://schemas.microsoft.com/office/drawing/2014/main" id="{00000000-0008-0000-0700-00000D000000}"/>
              </a:ext>
            </a:extLst>
          </xdr:cNvPr>
          <xdr:cNvSpPr txBox="1">
            <a:spLocks noChangeArrowheads="1"/>
          </xdr:cNvSpPr>
        </xdr:nvSpPr>
        <xdr:spPr bwMode="auto">
          <a:xfrm>
            <a:off x="394" y="79"/>
            <a:ext cx="62" cy="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NW </a:t>
            </a:r>
          </a:p>
          <a:p>
            <a:pPr algn="l" rtl="0">
              <a:defRPr sz="1000"/>
            </a:pPr>
            <a:endParaRPr lang="en-US" sz="1000" b="0" i="0" strike="noStrike">
              <a:solidFill>
                <a:srgbClr val="000000"/>
              </a:solidFill>
              <a:latin typeface="Arial"/>
              <a:cs typeface="Arial"/>
            </a:endParaRPr>
          </a:p>
        </xdr:txBody>
      </xdr:sp>
      <xdr:sp macro="" textlink="">
        <xdr:nvSpPr>
          <xdr:cNvPr id="14" name="AutoShape 15">
            <a:extLst>
              <a:ext uri="{FF2B5EF4-FFF2-40B4-BE49-F238E27FC236}">
                <a16:creationId xmlns:a16="http://schemas.microsoft.com/office/drawing/2014/main" id="{00000000-0008-0000-0700-00000E000000}"/>
              </a:ext>
            </a:extLst>
          </xdr:cNvPr>
          <xdr:cNvSpPr>
            <a:spLocks noChangeArrowheads="1"/>
          </xdr:cNvSpPr>
        </xdr:nvSpPr>
        <xdr:spPr bwMode="auto">
          <a:xfrm>
            <a:off x="565" y="181"/>
            <a:ext cx="23" cy="22"/>
          </a:xfrm>
          <a:prstGeom prst="upArrow">
            <a:avLst>
              <a:gd name="adj1" fmla="val 50000"/>
              <a:gd name="adj2" fmla="val 25000"/>
            </a:avLst>
          </a:prstGeom>
          <a:solidFill>
            <a:srgbClr val="BBE0E3"/>
          </a:solidFill>
          <a:ln w="9525">
            <a:solidFill>
              <a:srgbClr val="000000"/>
            </a:solidFill>
            <a:miter lim="800000"/>
            <a:headEnd/>
            <a:tailEnd/>
          </a:ln>
        </xdr:spPr>
      </xdr:sp>
      <xdr:sp macro="" textlink="">
        <xdr:nvSpPr>
          <xdr:cNvPr id="15" name="Text Box 16">
            <a:extLst>
              <a:ext uri="{FF2B5EF4-FFF2-40B4-BE49-F238E27FC236}">
                <a16:creationId xmlns:a16="http://schemas.microsoft.com/office/drawing/2014/main" id="{00000000-0008-0000-0700-00000F000000}"/>
              </a:ext>
            </a:extLst>
          </xdr:cNvPr>
          <xdr:cNvSpPr txBox="1">
            <a:spLocks noChangeArrowheads="1"/>
          </xdr:cNvSpPr>
        </xdr:nvSpPr>
        <xdr:spPr bwMode="auto">
          <a:xfrm>
            <a:off x="549" y="200"/>
            <a:ext cx="69" cy="28"/>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000" b="0" i="0" strike="noStrike">
                <a:solidFill>
                  <a:srgbClr val="000000"/>
                </a:solidFill>
                <a:latin typeface="Arial"/>
                <a:cs typeface="Arial"/>
              </a:rPr>
              <a:t>North</a:t>
            </a:r>
          </a:p>
          <a:p>
            <a:pPr algn="l" rtl="0">
              <a:defRPr sz="1000"/>
            </a:pPr>
            <a:endParaRPr lang="en-US" sz="1000" b="0" i="0" strike="noStrike">
              <a:solidFill>
                <a:srgbClr val="000000"/>
              </a:solidFill>
              <a:latin typeface="Arial"/>
              <a:cs typeface="Arial"/>
            </a:endParaRPr>
          </a:p>
        </xdr:txBody>
      </xdr:sp>
    </xdr:grpSp>
    <xdr:clientData/>
  </xdr:twoCellAnchor>
  <xdr:twoCellAnchor>
    <xdr:from>
      <xdr:col>4</xdr:col>
      <xdr:colOff>1</xdr:colOff>
      <xdr:row>17</xdr:row>
      <xdr:rowOff>95250</xdr:rowOff>
    </xdr:from>
    <xdr:to>
      <xdr:col>15</xdr:col>
      <xdr:colOff>4398</xdr:colOff>
      <xdr:row>17</xdr:row>
      <xdr:rowOff>96838</xdr:rowOff>
    </xdr:to>
    <xdr:cxnSp macro="">
      <xdr:nvCxnSpPr>
        <xdr:cNvPr id="20" name="Straight Connector 19">
          <a:extLst>
            <a:ext uri="{FF2B5EF4-FFF2-40B4-BE49-F238E27FC236}">
              <a16:creationId xmlns:a16="http://schemas.microsoft.com/office/drawing/2014/main" id="{00000000-0008-0000-0700-000014000000}"/>
            </a:ext>
          </a:extLst>
        </xdr:cNvPr>
        <xdr:cNvCxnSpPr/>
      </xdr:nvCxnSpPr>
      <xdr:spPr>
        <a:xfrm>
          <a:off x="1809751" y="3667125"/>
          <a:ext cx="2271347" cy="1588"/>
        </a:xfrm>
        <a:prstGeom prst="line">
          <a:avLst/>
        </a:prstGeom>
        <a:ln w="57150"/>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190501</xdr:colOff>
      <xdr:row>12</xdr:row>
      <xdr:rowOff>131887</xdr:rowOff>
    </xdr:from>
    <xdr:to>
      <xdr:col>9</xdr:col>
      <xdr:colOff>202031</xdr:colOff>
      <xdr:row>22</xdr:row>
      <xdr:rowOff>110877</xdr:rowOff>
    </xdr:to>
    <xdr:cxnSp macro="">
      <xdr:nvCxnSpPr>
        <xdr:cNvPr id="25" name="Straight Connector 24">
          <a:extLst>
            <a:ext uri="{FF2B5EF4-FFF2-40B4-BE49-F238E27FC236}">
              <a16:creationId xmlns:a16="http://schemas.microsoft.com/office/drawing/2014/main" id="{00000000-0008-0000-0700-000019000000}"/>
            </a:ext>
          </a:extLst>
        </xdr:cNvPr>
        <xdr:cNvCxnSpPr>
          <a:stCxn id="10" idx="1"/>
        </xdr:cNvCxnSpPr>
      </xdr:nvCxnSpPr>
      <xdr:spPr>
        <a:xfrm rot="10800000">
          <a:off x="2990851" y="2989387"/>
          <a:ext cx="11530" cy="1436315"/>
        </a:xfrm>
        <a:prstGeom prst="line">
          <a:avLst/>
        </a:prstGeom>
        <a:ln w="57150"/>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187635</xdr:colOff>
      <xdr:row>15</xdr:row>
      <xdr:rowOff>29627</xdr:rowOff>
    </xdr:from>
    <xdr:to>
      <xdr:col>11</xdr:col>
      <xdr:colOff>179352</xdr:colOff>
      <xdr:row>19</xdr:row>
      <xdr:rowOff>145583</xdr:rowOff>
    </xdr:to>
    <xdr:sp macro="" textlink="">
      <xdr:nvSpPr>
        <xdr:cNvPr id="26" name="Oval 25">
          <a:extLst>
            <a:ext uri="{FF2B5EF4-FFF2-40B4-BE49-F238E27FC236}">
              <a16:creationId xmlns:a16="http://schemas.microsoft.com/office/drawing/2014/main" id="{00000000-0008-0000-0700-00001A000000}"/>
            </a:ext>
          </a:extLst>
        </xdr:cNvPr>
        <xdr:cNvSpPr/>
      </xdr:nvSpPr>
      <xdr:spPr>
        <a:xfrm>
          <a:off x="2626035" y="3296702"/>
          <a:ext cx="725142" cy="725556"/>
        </a:xfrm>
        <a:prstGeom prst="ellipse">
          <a:avLst/>
        </a:prstGeom>
        <a:ln w="57150">
          <a:solidFill>
            <a:schemeClr val="tx1"/>
          </a:solidFill>
        </a:ln>
        <a:effectLst>
          <a:outerShdw blurRad="50800" dist="38100" dir="8100000" algn="tr" rotWithShape="0">
            <a:prstClr val="black">
              <a:alpha val="40000"/>
            </a:prstClr>
          </a:outerShdw>
        </a:effectLst>
      </xdr:spPr>
      <xdr:style>
        <a:lnRef idx="1">
          <a:schemeClr val="accent3"/>
        </a:lnRef>
        <a:fillRef idx="3">
          <a:schemeClr val="accent3"/>
        </a:fillRef>
        <a:effectRef idx="2">
          <a:schemeClr val="accent3"/>
        </a:effectRef>
        <a:fontRef idx="minor">
          <a:schemeClr val="lt1"/>
        </a:fontRef>
      </xdr:style>
      <xdr:txBody>
        <a:bodyPr rtlCol="0" anchor="ctr"/>
        <a:lstStyle/>
        <a:p>
          <a:pPr algn="ctr"/>
          <a:endParaRPr lang="en-US" sz="1100"/>
        </a:p>
      </xdr:txBody>
    </xdr:sp>
    <xdr:clientData/>
  </xdr:twoCellAnchor>
  <xdr:twoCellAnchor>
    <xdr:from>
      <xdr:col>2</xdr:col>
      <xdr:colOff>38100</xdr:colOff>
      <xdr:row>14</xdr:row>
      <xdr:rowOff>74735</xdr:rowOff>
    </xdr:from>
    <xdr:to>
      <xdr:col>3</xdr:col>
      <xdr:colOff>322321</xdr:colOff>
      <xdr:row>20</xdr:row>
      <xdr:rowOff>5758</xdr:rowOff>
    </xdr:to>
    <xdr:grpSp>
      <xdr:nvGrpSpPr>
        <xdr:cNvPr id="27" name="Group 26">
          <a:extLst>
            <a:ext uri="{FF2B5EF4-FFF2-40B4-BE49-F238E27FC236}">
              <a16:creationId xmlns:a16="http://schemas.microsoft.com/office/drawing/2014/main" id="{00000000-0008-0000-0700-00001B000000}"/>
            </a:ext>
          </a:extLst>
        </xdr:cNvPr>
        <xdr:cNvGrpSpPr/>
      </xdr:nvGrpSpPr>
      <xdr:grpSpPr>
        <a:xfrm>
          <a:off x="1272209" y="3222126"/>
          <a:ext cx="449873" cy="858675"/>
          <a:chOff x="6696075" y="6332660"/>
          <a:chExt cx="446146" cy="854948"/>
        </a:xfrm>
      </xdr:grpSpPr>
      <xdr:cxnSp macro="">
        <xdr:nvCxnSpPr>
          <xdr:cNvPr id="28" name="Elbow Connector 27">
            <a:extLst>
              <a:ext uri="{FF2B5EF4-FFF2-40B4-BE49-F238E27FC236}">
                <a16:creationId xmlns:a16="http://schemas.microsoft.com/office/drawing/2014/main" id="{00000000-0008-0000-0700-00001C000000}"/>
              </a:ext>
            </a:extLst>
          </xdr:cNvPr>
          <xdr:cNvCxnSpPr/>
        </xdr:nvCxnSpPr>
        <xdr:spPr>
          <a:xfrm rot="5400000" flipH="1" flipV="1">
            <a:off x="6652719" y="6396941"/>
            <a:ext cx="304621"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29" name="Elbow Connector 28">
            <a:extLst>
              <a:ext uri="{FF2B5EF4-FFF2-40B4-BE49-F238E27FC236}">
                <a16:creationId xmlns:a16="http://schemas.microsoft.com/office/drawing/2014/main" id="{00000000-0008-0000-0700-00001D000000}"/>
              </a:ext>
            </a:extLst>
          </xdr:cNvPr>
          <xdr:cNvCxnSpPr/>
        </xdr:nvCxnSpPr>
        <xdr:spPr>
          <a:xfrm rot="16200000" flipH="1">
            <a:off x="6656841" y="6948459"/>
            <a:ext cx="302239"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30" name="Straight Arrow Connector 29">
            <a:extLst>
              <a:ext uri="{FF2B5EF4-FFF2-40B4-BE49-F238E27FC236}">
                <a16:creationId xmlns:a16="http://schemas.microsoft.com/office/drawing/2014/main" id="{00000000-0008-0000-0700-00001E000000}"/>
              </a:ext>
            </a:extLst>
          </xdr:cNvPr>
          <xdr:cNvCxnSpPr/>
        </xdr:nvCxnSpPr>
        <xdr:spPr>
          <a:xfrm rot="10800000" flipH="1">
            <a:off x="6699005" y="6756003"/>
            <a:ext cx="443216" cy="2255"/>
          </a:xfrm>
          <a:prstGeom prst="straightConnector1">
            <a:avLst/>
          </a:prstGeom>
          <a:ln w="9525">
            <a:tailEnd type="arrow"/>
          </a:ln>
        </xdr:spPr>
        <xdr:style>
          <a:lnRef idx="1">
            <a:schemeClr val="dk1"/>
          </a:lnRef>
          <a:fillRef idx="0">
            <a:schemeClr val="dk1"/>
          </a:fillRef>
          <a:effectRef idx="0">
            <a:schemeClr val="dk1"/>
          </a:effectRef>
          <a:fontRef idx="minor">
            <a:schemeClr val="tx1"/>
          </a:fontRef>
        </xdr:style>
      </xdr:cxnSp>
      <xdr:grpSp>
        <xdr:nvGrpSpPr>
          <xdr:cNvPr id="31" name="Group 153">
            <a:extLst>
              <a:ext uri="{FF2B5EF4-FFF2-40B4-BE49-F238E27FC236}">
                <a16:creationId xmlns:a16="http://schemas.microsoft.com/office/drawing/2014/main" id="{00000000-0008-0000-0700-00001F000000}"/>
              </a:ext>
            </a:extLst>
          </xdr:cNvPr>
          <xdr:cNvGrpSpPr/>
        </xdr:nvGrpSpPr>
        <xdr:grpSpPr>
          <a:xfrm>
            <a:off x="6696075" y="6426445"/>
            <a:ext cx="369277" cy="685800"/>
            <a:chOff x="3565460" y="6224525"/>
            <a:chExt cx="369277" cy="685800"/>
          </a:xfrm>
        </xdr:grpSpPr>
        <xdr:grpSp>
          <xdr:nvGrpSpPr>
            <xdr:cNvPr id="32" name="Group 141">
              <a:extLst>
                <a:ext uri="{FF2B5EF4-FFF2-40B4-BE49-F238E27FC236}">
                  <a16:creationId xmlns:a16="http://schemas.microsoft.com/office/drawing/2014/main" id="{00000000-0008-0000-0700-000020000000}"/>
                </a:ext>
              </a:extLst>
            </xdr:cNvPr>
            <xdr:cNvGrpSpPr/>
          </xdr:nvGrpSpPr>
          <xdr:grpSpPr>
            <a:xfrm>
              <a:off x="3577183" y="6620177"/>
              <a:ext cx="357554" cy="140677"/>
              <a:chOff x="3584331" y="6603022"/>
              <a:chExt cx="357554" cy="140677"/>
            </a:xfrm>
          </xdr:grpSpPr>
          <xdr:cxnSp macro="">
            <xdr:nvCxnSpPr>
              <xdr:cNvPr id="42" name="Straight Connector 41">
                <a:extLst>
                  <a:ext uri="{FF2B5EF4-FFF2-40B4-BE49-F238E27FC236}">
                    <a16:creationId xmlns:a16="http://schemas.microsoft.com/office/drawing/2014/main" id="{00000000-0008-0000-0700-00002A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43" name="Straight Arrow Connector 42">
                <a:extLst>
                  <a:ext uri="{FF2B5EF4-FFF2-40B4-BE49-F238E27FC236}">
                    <a16:creationId xmlns:a16="http://schemas.microsoft.com/office/drawing/2014/main" id="{00000000-0008-0000-0700-00002B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33" name="Group 140">
              <a:extLst>
                <a:ext uri="{FF2B5EF4-FFF2-40B4-BE49-F238E27FC236}">
                  <a16:creationId xmlns:a16="http://schemas.microsoft.com/office/drawing/2014/main" id="{00000000-0008-0000-0700-000021000000}"/>
                </a:ext>
              </a:extLst>
            </xdr:cNvPr>
            <xdr:cNvGrpSpPr/>
          </xdr:nvGrpSpPr>
          <xdr:grpSpPr>
            <a:xfrm>
              <a:off x="3565460" y="6743271"/>
              <a:ext cx="111369" cy="167054"/>
              <a:chOff x="3569677" y="6729047"/>
              <a:chExt cx="111369" cy="167054"/>
            </a:xfrm>
          </xdr:grpSpPr>
          <xdr:cxnSp macro="">
            <xdr:nvCxnSpPr>
              <xdr:cNvPr id="40" name="Straight Connector 39">
                <a:extLst>
                  <a:ext uri="{FF2B5EF4-FFF2-40B4-BE49-F238E27FC236}">
                    <a16:creationId xmlns:a16="http://schemas.microsoft.com/office/drawing/2014/main" id="{00000000-0008-0000-0700-000028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41" name="Straight Arrow Connector 40">
                <a:extLst>
                  <a:ext uri="{FF2B5EF4-FFF2-40B4-BE49-F238E27FC236}">
                    <a16:creationId xmlns:a16="http://schemas.microsoft.com/office/drawing/2014/main" id="{00000000-0008-0000-0700-000029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34" name="Group 142">
              <a:extLst>
                <a:ext uri="{FF2B5EF4-FFF2-40B4-BE49-F238E27FC236}">
                  <a16:creationId xmlns:a16="http://schemas.microsoft.com/office/drawing/2014/main" id="{00000000-0008-0000-0700-000022000000}"/>
                </a:ext>
              </a:extLst>
            </xdr:cNvPr>
            <xdr:cNvGrpSpPr/>
          </xdr:nvGrpSpPr>
          <xdr:grpSpPr>
            <a:xfrm flipV="1">
              <a:off x="3577183" y="6359339"/>
              <a:ext cx="357554" cy="140677"/>
              <a:chOff x="3584331" y="6603022"/>
              <a:chExt cx="357554" cy="140677"/>
            </a:xfrm>
          </xdr:grpSpPr>
          <xdr:cxnSp macro="">
            <xdr:nvCxnSpPr>
              <xdr:cNvPr id="38" name="Straight Connector 37">
                <a:extLst>
                  <a:ext uri="{FF2B5EF4-FFF2-40B4-BE49-F238E27FC236}">
                    <a16:creationId xmlns:a16="http://schemas.microsoft.com/office/drawing/2014/main" id="{00000000-0008-0000-0700-000026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39" name="Straight Arrow Connector 38">
                <a:extLst>
                  <a:ext uri="{FF2B5EF4-FFF2-40B4-BE49-F238E27FC236}">
                    <a16:creationId xmlns:a16="http://schemas.microsoft.com/office/drawing/2014/main" id="{00000000-0008-0000-0700-000027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35" name="Group 145">
              <a:extLst>
                <a:ext uri="{FF2B5EF4-FFF2-40B4-BE49-F238E27FC236}">
                  <a16:creationId xmlns:a16="http://schemas.microsoft.com/office/drawing/2014/main" id="{00000000-0008-0000-0700-000023000000}"/>
                </a:ext>
              </a:extLst>
            </xdr:cNvPr>
            <xdr:cNvGrpSpPr/>
          </xdr:nvGrpSpPr>
          <xdr:grpSpPr>
            <a:xfrm flipV="1">
              <a:off x="3571321" y="6224525"/>
              <a:ext cx="111369" cy="167054"/>
              <a:chOff x="3569677" y="6729047"/>
              <a:chExt cx="111369" cy="167054"/>
            </a:xfrm>
          </xdr:grpSpPr>
          <xdr:cxnSp macro="">
            <xdr:nvCxnSpPr>
              <xdr:cNvPr id="36" name="Straight Connector 35">
                <a:extLst>
                  <a:ext uri="{FF2B5EF4-FFF2-40B4-BE49-F238E27FC236}">
                    <a16:creationId xmlns:a16="http://schemas.microsoft.com/office/drawing/2014/main" id="{00000000-0008-0000-0700-000024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700-000025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3</xdr:col>
      <xdr:colOff>47624</xdr:colOff>
      <xdr:row>21</xdr:row>
      <xdr:rowOff>8060</xdr:rowOff>
    </xdr:from>
    <xdr:to>
      <xdr:col>4</xdr:col>
      <xdr:colOff>74670</xdr:colOff>
      <xdr:row>26</xdr:row>
      <xdr:rowOff>15283</xdr:rowOff>
    </xdr:to>
    <xdr:grpSp>
      <xdr:nvGrpSpPr>
        <xdr:cNvPr id="61" name="Group 60">
          <a:extLst>
            <a:ext uri="{FF2B5EF4-FFF2-40B4-BE49-F238E27FC236}">
              <a16:creationId xmlns:a16="http://schemas.microsoft.com/office/drawing/2014/main" id="{00000000-0008-0000-0700-00003D000000}"/>
            </a:ext>
          </a:extLst>
        </xdr:cNvPr>
        <xdr:cNvGrpSpPr/>
      </xdr:nvGrpSpPr>
      <xdr:grpSpPr>
        <a:xfrm rot="19419531">
          <a:off x="1447385" y="4207343"/>
          <a:ext cx="449459" cy="860331"/>
          <a:chOff x="6696075" y="6332660"/>
          <a:chExt cx="446146" cy="854948"/>
        </a:xfrm>
      </xdr:grpSpPr>
      <xdr:cxnSp macro="">
        <xdr:nvCxnSpPr>
          <xdr:cNvPr id="62" name="Elbow Connector 61">
            <a:extLst>
              <a:ext uri="{FF2B5EF4-FFF2-40B4-BE49-F238E27FC236}">
                <a16:creationId xmlns:a16="http://schemas.microsoft.com/office/drawing/2014/main" id="{00000000-0008-0000-0700-00003E000000}"/>
              </a:ext>
            </a:extLst>
          </xdr:cNvPr>
          <xdr:cNvCxnSpPr/>
        </xdr:nvCxnSpPr>
        <xdr:spPr>
          <a:xfrm rot="5400000" flipH="1" flipV="1">
            <a:off x="6652719" y="6396941"/>
            <a:ext cx="304621"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63" name="Elbow Connector 62">
            <a:extLst>
              <a:ext uri="{FF2B5EF4-FFF2-40B4-BE49-F238E27FC236}">
                <a16:creationId xmlns:a16="http://schemas.microsoft.com/office/drawing/2014/main" id="{00000000-0008-0000-0700-00003F000000}"/>
              </a:ext>
            </a:extLst>
          </xdr:cNvPr>
          <xdr:cNvCxnSpPr/>
        </xdr:nvCxnSpPr>
        <xdr:spPr>
          <a:xfrm rot="16200000" flipH="1">
            <a:off x="6656841" y="6948459"/>
            <a:ext cx="302239"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700-000040000000}"/>
              </a:ext>
            </a:extLst>
          </xdr:cNvPr>
          <xdr:cNvCxnSpPr/>
        </xdr:nvCxnSpPr>
        <xdr:spPr>
          <a:xfrm rot="10800000" flipH="1">
            <a:off x="6699005" y="6756003"/>
            <a:ext cx="443216" cy="2255"/>
          </a:xfrm>
          <a:prstGeom prst="straightConnector1">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grpSp>
        <xdr:nvGrpSpPr>
          <xdr:cNvPr id="65" name="Group 153">
            <a:extLst>
              <a:ext uri="{FF2B5EF4-FFF2-40B4-BE49-F238E27FC236}">
                <a16:creationId xmlns:a16="http://schemas.microsoft.com/office/drawing/2014/main" id="{00000000-0008-0000-0700-000041000000}"/>
              </a:ext>
            </a:extLst>
          </xdr:cNvPr>
          <xdr:cNvGrpSpPr/>
        </xdr:nvGrpSpPr>
        <xdr:grpSpPr>
          <a:xfrm>
            <a:off x="6696075" y="6426445"/>
            <a:ext cx="369277" cy="685800"/>
            <a:chOff x="3565460" y="6224525"/>
            <a:chExt cx="369277" cy="685800"/>
          </a:xfrm>
        </xdr:grpSpPr>
        <xdr:grpSp>
          <xdr:nvGrpSpPr>
            <xdr:cNvPr id="66" name="Group 141">
              <a:extLst>
                <a:ext uri="{FF2B5EF4-FFF2-40B4-BE49-F238E27FC236}">
                  <a16:creationId xmlns:a16="http://schemas.microsoft.com/office/drawing/2014/main" id="{00000000-0008-0000-0700-000042000000}"/>
                </a:ext>
              </a:extLst>
            </xdr:cNvPr>
            <xdr:cNvGrpSpPr/>
          </xdr:nvGrpSpPr>
          <xdr:grpSpPr>
            <a:xfrm>
              <a:off x="3577183" y="6620177"/>
              <a:ext cx="357554" cy="140677"/>
              <a:chOff x="3584331" y="6603022"/>
              <a:chExt cx="357554" cy="140677"/>
            </a:xfrm>
          </xdr:grpSpPr>
          <xdr:cxnSp macro="">
            <xdr:nvCxnSpPr>
              <xdr:cNvPr id="76" name="Straight Connector 75">
                <a:extLst>
                  <a:ext uri="{FF2B5EF4-FFF2-40B4-BE49-F238E27FC236}">
                    <a16:creationId xmlns:a16="http://schemas.microsoft.com/office/drawing/2014/main" id="{00000000-0008-0000-0700-00004C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77" name="Straight Arrow Connector 76">
                <a:extLst>
                  <a:ext uri="{FF2B5EF4-FFF2-40B4-BE49-F238E27FC236}">
                    <a16:creationId xmlns:a16="http://schemas.microsoft.com/office/drawing/2014/main" id="{00000000-0008-0000-0700-00004D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67" name="Group 140">
              <a:extLst>
                <a:ext uri="{FF2B5EF4-FFF2-40B4-BE49-F238E27FC236}">
                  <a16:creationId xmlns:a16="http://schemas.microsoft.com/office/drawing/2014/main" id="{00000000-0008-0000-0700-000043000000}"/>
                </a:ext>
              </a:extLst>
            </xdr:cNvPr>
            <xdr:cNvGrpSpPr/>
          </xdr:nvGrpSpPr>
          <xdr:grpSpPr>
            <a:xfrm>
              <a:off x="3565460" y="6743271"/>
              <a:ext cx="111369" cy="167054"/>
              <a:chOff x="3569677" y="6729047"/>
              <a:chExt cx="111369" cy="167054"/>
            </a:xfrm>
          </xdr:grpSpPr>
          <xdr:cxnSp macro="">
            <xdr:nvCxnSpPr>
              <xdr:cNvPr id="74" name="Straight Connector 73">
                <a:extLst>
                  <a:ext uri="{FF2B5EF4-FFF2-40B4-BE49-F238E27FC236}">
                    <a16:creationId xmlns:a16="http://schemas.microsoft.com/office/drawing/2014/main" id="{00000000-0008-0000-0700-00004A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700-00004B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68" name="Group 142">
              <a:extLst>
                <a:ext uri="{FF2B5EF4-FFF2-40B4-BE49-F238E27FC236}">
                  <a16:creationId xmlns:a16="http://schemas.microsoft.com/office/drawing/2014/main" id="{00000000-0008-0000-0700-000044000000}"/>
                </a:ext>
              </a:extLst>
            </xdr:cNvPr>
            <xdr:cNvGrpSpPr/>
          </xdr:nvGrpSpPr>
          <xdr:grpSpPr>
            <a:xfrm flipV="1">
              <a:off x="3577183" y="6359339"/>
              <a:ext cx="357554" cy="140677"/>
              <a:chOff x="3584331" y="6603022"/>
              <a:chExt cx="357554" cy="140677"/>
            </a:xfrm>
          </xdr:grpSpPr>
          <xdr:cxnSp macro="">
            <xdr:nvCxnSpPr>
              <xdr:cNvPr id="72" name="Straight Connector 71">
                <a:extLst>
                  <a:ext uri="{FF2B5EF4-FFF2-40B4-BE49-F238E27FC236}">
                    <a16:creationId xmlns:a16="http://schemas.microsoft.com/office/drawing/2014/main" id="{00000000-0008-0000-0700-000048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73" name="Straight Arrow Connector 72">
                <a:extLst>
                  <a:ext uri="{FF2B5EF4-FFF2-40B4-BE49-F238E27FC236}">
                    <a16:creationId xmlns:a16="http://schemas.microsoft.com/office/drawing/2014/main" id="{00000000-0008-0000-0700-000049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69" name="Group 145">
              <a:extLst>
                <a:ext uri="{FF2B5EF4-FFF2-40B4-BE49-F238E27FC236}">
                  <a16:creationId xmlns:a16="http://schemas.microsoft.com/office/drawing/2014/main" id="{00000000-0008-0000-0700-000045000000}"/>
                </a:ext>
              </a:extLst>
            </xdr:cNvPr>
            <xdr:cNvGrpSpPr/>
          </xdr:nvGrpSpPr>
          <xdr:grpSpPr>
            <a:xfrm flipV="1">
              <a:off x="3571321" y="6224525"/>
              <a:ext cx="111369" cy="167054"/>
              <a:chOff x="3569677" y="6729047"/>
              <a:chExt cx="111369" cy="167054"/>
            </a:xfrm>
          </xdr:grpSpPr>
          <xdr:cxnSp macro="">
            <xdr:nvCxnSpPr>
              <xdr:cNvPr id="70" name="Straight Connector 69">
                <a:extLst>
                  <a:ext uri="{FF2B5EF4-FFF2-40B4-BE49-F238E27FC236}">
                    <a16:creationId xmlns:a16="http://schemas.microsoft.com/office/drawing/2014/main" id="{00000000-0008-0000-0700-000046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71" name="Straight Arrow Connector 70">
                <a:extLst>
                  <a:ext uri="{FF2B5EF4-FFF2-40B4-BE49-F238E27FC236}">
                    <a16:creationId xmlns:a16="http://schemas.microsoft.com/office/drawing/2014/main" id="{00000000-0008-0000-0700-000047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7</xdr:col>
      <xdr:colOff>43249</xdr:colOff>
      <xdr:row>23</xdr:row>
      <xdr:rowOff>21961</xdr:rowOff>
    </xdr:from>
    <xdr:to>
      <xdr:col>11</xdr:col>
      <xdr:colOff>164772</xdr:colOff>
      <xdr:row>25</xdr:row>
      <xdr:rowOff>49007</xdr:rowOff>
    </xdr:to>
    <xdr:grpSp>
      <xdr:nvGrpSpPr>
        <xdr:cNvPr id="78" name="Group 77">
          <a:extLst>
            <a:ext uri="{FF2B5EF4-FFF2-40B4-BE49-F238E27FC236}">
              <a16:creationId xmlns:a16="http://schemas.microsoft.com/office/drawing/2014/main" id="{00000000-0008-0000-0700-00004E000000}"/>
            </a:ext>
          </a:extLst>
        </xdr:cNvPr>
        <xdr:cNvGrpSpPr/>
      </xdr:nvGrpSpPr>
      <xdr:grpSpPr>
        <a:xfrm rot="16200000">
          <a:off x="2699509" y="4331375"/>
          <a:ext cx="449459" cy="858675"/>
          <a:chOff x="6696075" y="6332660"/>
          <a:chExt cx="446146" cy="854948"/>
        </a:xfrm>
      </xdr:grpSpPr>
      <xdr:cxnSp macro="">
        <xdr:nvCxnSpPr>
          <xdr:cNvPr id="79" name="Elbow Connector 78">
            <a:extLst>
              <a:ext uri="{FF2B5EF4-FFF2-40B4-BE49-F238E27FC236}">
                <a16:creationId xmlns:a16="http://schemas.microsoft.com/office/drawing/2014/main" id="{00000000-0008-0000-0700-00004F000000}"/>
              </a:ext>
            </a:extLst>
          </xdr:cNvPr>
          <xdr:cNvCxnSpPr/>
        </xdr:nvCxnSpPr>
        <xdr:spPr>
          <a:xfrm rot="5400000" flipH="1" flipV="1">
            <a:off x="6652719" y="6396941"/>
            <a:ext cx="304621"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80" name="Elbow Connector 79">
            <a:extLst>
              <a:ext uri="{FF2B5EF4-FFF2-40B4-BE49-F238E27FC236}">
                <a16:creationId xmlns:a16="http://schemas.microsoft.com/office/drawing/2014/main" id="{00000000-0008-0000-0700-000050000000}"/>
              </a:ext>
            </a:extLst>
          </xdr:cNvPr>
          <xdr:cNvCxnSpPr/>
        </xdr:nvCxnSpPr>
        <xdr:spPr>
          <a:xfrm rot="16200000" flipH="1">
            <a:off x="6656841" y="6948459"/>
            <a:ext cx="302239"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81" name="Straight Arrow Connector 80">
            <a:extLst>
              <a:ext uri="{FF2B5EF4-FFF2-40B4-BE49-F238E27FC236}">
                <a16:creationId xmlns:a16="http://schemas.microsoft.com/office/drawing/2014/main" id="{00000000-0008-0000-0700-000051000000}"/>
              </a:ext>
            </a:extLst>
          </xdr:cNvPr>
          <xdr:cNvCxnSpPr/>
        </xdr:nvCxnSpPr>
        <xdr:spPr>
          <a:xfrm rot="10800000" flipH="1">
            <a:off x="6699005" y="6756003"/>
            <a:ext cx="443216" cy="2255"/>
          </a:xfrm>
          <a:prstGeom prst="straightConnector1">
            <a:avLst/>
          </a:prstGeom>
          <a:ln w="9525">
            <a:tailEnd type="arrow"/>
          </a:ln>
        </xdr:spPr>
        <xdr:style>
          <a:lnRef idx="1">
            <a:schemeClr val="dk1"/>
          </a:lnRef>
          <a:fillRef idx="0">
            <a:schemeClr val="dk1"/>
          </a:fillRef>
          <a:effectRef idx="0">
            <a:schemeClr val="dk1"/>
          </a:effectRef>
          <a:fontRef idx="minor">
            <a:schemeClr val="tx1"/>
          </a:fontRef>
        </xdr:style>
      </xdr:cxnSp>
      <xdr:grpSp>
        <xdr:nvGrpSpPr>
          <xdr:cNvPr id="82" name="Group 153">
            <a:extLst>
              <a:ext uri="{FF2B5EF4-FFF2-40B4-BE49-F238E27FC236}">
                <a16:creationId xmlns:a16="http://schemas.microsoft.com/office/drawing/2014/main" id="{00000000-0008-0000-0700-000052000000}"/>
              </a:ext>
            </a:extLst>
          </xdr:cNvPr>
          <xdr:cNvGrpSpPr/>
        </xdr:nvGrpSpPr>
        <xdr:grpSpPr>
          <a:xfrm>
            <a:off x="6696075" y="6426445"/>
            <a:ext cx="369277" cy="685800"/>
            <a:chOff x="3565460" y="6224525"/>
            <a:chExt cx="369277" cy="685800"/>
          </a:xfrm>
        </xdr:grpSpPr>
        <xdr:grpSp>
          <xdr:nvGrpSpPr>
            <xdr:cNvPr id="83" name="Group 141">
              <a:extLst>
                <a:ext uri="{FF2B5EF4-FFF2-40B4-BE49-F238E27FC236}">
                  <a16:creationId xmlns:a16="http://schemas.microsoft.com/office/drawing/2014/main" id="{00000000-0008-0000-0700-000053000000}"/>
                </a:ext>
              </a:extLst>
            </xdr:cNvPr>
            <xdr:cNvGrpSpPr/>
          </xdr:nvGrpSpPr>
          <xdr:grpSpPr>
            <a:xfrm>
              <a:off x="3577183" y="6620177"/>
              <a:ext cx="357554" cy="140677"/>
              <a:chOff x="3584331" y="6603022"/>
              <a:chExt cx="357554" cy="140677"/>
            </a:xfrm>
          </xdr:grpSpPr>
          <xdr:cxnSp macro="">
            <xdr:nvCxnSpPr>
              <xdr:cNvPr id="93" name="Straight Connector 92">
                <a:extLst>
                  <a:ext uri="{FF2B5EF4-FFF2-40B4-BE49-F238E27FC236}">
                    <a16:creationId xmlns:a16="http://schemas.microsoft.com/office/drawing/2014/main" id="{00000000-0008-0000-0700-00005D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94" name="Straight Arrow Connector 93">
                <a:extLst>
                  <a:ext uri="{FF2B5EF4-FFF2-40B4-BE49-F238E27FC236}">
                    <a16:creationId xmlns:a16="http://schemas.microsoft.com/office/drawing/2014/main" id="{00000000-0008-0000-0700-00005E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84" name="Group 140">
              <a:extLst>
                <a:ext uri="{FF2B5EF4-FFF2-40B4-BE49-F238E27FC236}">
                  <a16:creationId xmlns:a16="http://schemas.microsoft.com/office/drawing/2014/main" id="{00000000-0008-0000-0700-000054000000}"/>
                </a:ext>
              </a:extLst>
            </xdr:cNvPr>
            <xdr:cNvGrpSpPr/>
          </xdr:nvGrpSpPr>
          <xdr:grpSpPr>
            <a:xfrm>
              <a:off x="3565460" y="6743271"/>
              <a:ext cx="111369" cy="167054"/>
              <a:chOff x="3569677" y="6729047"/>
              <a:chExt cx="111369" cy="167054"/>
            </a:xfrm>
          </xdr:grpSpPr>
          <xdr:cxnSp macro="">
            <xdr:nvCxnSpPr>
              <xdr:cNvPr id="91" name="Straight Connector 90">
                <a:extLst>
                  <a:ext uri="{FF2B5EF4-FFF2-40B4-BE49-F238E27FC236}">
                    <a16:creationId xmlns:a16="http://schemas.microsoft.com/office/drawing/2014/main" id="{00000000-0008-0000-0700-00005B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92" name="Straight Arrow Connector 91">
                <a:extLst>
                  <a:ext uri="{FF2B5EF4-FFF2-40B4-BE49-F238E27FC236}">
                    <a16:creationId xmlns:a16="http://schemas.microsoft.com/office/drawing/2014/main" id="{00000000-0008-0000-0700-00005C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85" name="Group 142">
              <a:extLst>
                <a:ext uri="{FF2B5EF4-FFF2-40B4-BE49-F238E27FC236}">
                  <a16:creationId xmlns:a16="http://schemas.microsoft.com/office/drawing/2014/main" id="{00000000-0008-0000-0700-000055000000}"/>
                </a:ext>
              </a:extLst>
            </xdr:cNvPr>
            <xdr:cNvGrpSpPr/>
          </xdr:nvGrpSpPr>
          <xdr:grpSpPr>
            <a:xfrm flipV="1">
              <a:off x="3577183" y="6359339"/>
              <a:ext cx="357554" cy="140677"/>
              <a:chOff x="3584331" y="6603022"/>
              <a:chExt cx="357554" cy="140677"/>
            </a:xfrm>
          </xdr:grpSpPr>
          <xdr:cxnSp macro="">
            <xdr:nvCxnSpPr>
              <xdr:cNvPr id="89" name="Straight Connector 88">
                <a:extLst>
                  <a:ext uri="{FF2B5EF4-FFF2-40B4-BE49-F238E27FC236}">
                    <a16:creationId xmlns:a16="http://schemas.microsoft.com/office/drawing/2014/main" id="{00000000-0008-0000-0700-000059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90" name="Straight Arrow Connector 89">
                <a:extLst>
                  <a:ext uri="{FF2B5EF4-FFF2-40B4-BE49-F238E27FC236}">
                    <a16:creationId xmlns:a16="http://schemas.microsoft.com/office/drawing/2014/main" id="{00000000-0008-0000-0700-00005A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86" name="Group 145">
              <a:extLst>
                <a:ext uri="{FF2B5EF4-FFF2-40B4-BE49-F238E27FC236}">
                  <a16:creationId xmlns:a16="http://schemas.microsoft.com/office/drawing/2014/main" id="{00000000-0008-0000-0700-000056000000}"/>
                </a:ext>
              </a:extLst>
            </xdr:cNvPr>
            <xdr:cNvGrpSpPr/>
          </xdr:nvGrpSpPr>
          <xdr:grpSpPr>
            <a:xfrm flipV="1">
              <a:off x="3571321" y="6224525"/>
              <a:ext cx="111369" cy="167054"/>
              <a:chOff x="3569677" y="6729047"/>
              <a:chExt cx="111369" cy="167054"/>
            </a:xfrm>
          </xdr:grpSpPr>
          <xdr:cxnSp macro="">
            <xdr:nvCxnSpPr>
              <xdr:cNvPr id="87" name="Straight Connector 86">
                <a:extLst>
                  <a:ext uri="{FF2B5EF4-FFF2-40B4-BE49-F238E27FC236}">
                    <a16:creationId xmlns:a16="http://schemas.microsoft.com/office/drawing/2014/main" id="{00000000-0008-0000-0700-000057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88" name="Straight Arrow Connector 87">
                <a:extLst>
                  <a:ext uri="{FF2B5EF4-FFF2-40B4-BE49-F238E27FC236}">
                    <a16:creationId xmlns:a16="http://schemas.microsoft.com/office/drawing/2014/main" id="{00000000-0008-0000-0700-000058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7</xdr:col>
      <xdr:colOff>43249</xdr:colOff>
      <xdr:row>9</xdr:row>
      <xdr:rowOff>60061</xdr:rowOff>
    </xdr:from>
    <xdr:to>
      <xdr:col>11</xdr:col>
      <xdr:colOff>164772</xdr:colOff>
      <xdr:row>11</xdr:row>
      <xdr:rowOff>68057</xdr:rowOff>
    </xdr:to>
    <xdr:grpSp>
      <xdr:nvGrpSpPr>
        <xdr:cNvPr id="95" name="Group 94">
          <a:extLst>
            <a:ext uri="{FF2B5EF4-FFF2-40B4-BE49-F238E27FC236}">
              <a16:creationId xmlns:a16="http://schemas.microsoft.com/office/drawing/2014/main" id="{00000000-0008-0000-0700-00005F000000}"/>
            </a:ext>
          </a:extLst>
        </xdr:cNvPr>
        <xdr:cNvGrpSpPr/>
      </xdr:nvGrpSpPr>
      <xdr:grpSpPr>
        <a:xfrm rot="16200000" flipH="1" flipV="1">
          <a:off x="2700752" y="2148493"/>
          <a:ext cx="446974" cy="858675"/>
          <a:chOff x="6696075" y="6332660"/>
          <a:chExt cx="446146" cy="854948"/>
        </a:xfrm>
      </xdr:grpSpPr>
      <xdr:cxnSp macro="">
        <xdr:nvCxnSpPr>
          <xdr:cNvPr id="96" name="Elbow Connector 95">
            <a:extLst>
              <a:ext uri="{FF2B5EF4-FFF2-40B4-BE49-F238E27FC236}">
                <a16:creationId xmlns:a16="http://schemas.microsoft.com/office/drawing/2014/main" id="{00000000-0008-0000-0700-000060000000}"/>
              </a:ext>
            </a:extLst>
          </xdr:cNvPr>
          <xdr:cNvCxnSpPr/>
        </xdr:nvCxnSpPr>
        <xdr:spPr>
          <a:xfrm rot="5400000" flipH="1" flipV="1">
            <a:off x="6652719" y="6396941"/>
            <a:ext cx="304621"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97" name="Elbow Connector 96">
            <a:extLst>
              <a:ext uri="{FF2B5EF4-FFF2-40B4-BE49-F238E27FC236}">
                <a16:creationId xmlns:a16="http://schemas.microsoft.com/office/drawing/2014/main" id="{00000000-0008-0000-0700-000061000000}"/>
              </a:ext>
            </a:extLst>
          </xdr:cNvPr>
          <xdr:cNvCxnSpPr/>
        </xdr:nvCxnSpPr>
        <xdr:spPr>
          <a:xfrm rot="16200000" flipH="1">
            <a:off x="6656841" y="6948459"/>
            <a:ext cx="302239"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98" name="Straight Arrow Connector 97">
            <a:extLst>
              <a:ext uri="{FF2B5EF4-FFF2-40B4-BE49-F238E27FC236}">
                <a16:creationId xmlns:a16="http://schemas.microsoft.com/office/drawing/2014/main" id="{00000000-0008-0000-0700-000062000000}"/>
              </a:ext>
            </a:extLst>
          </xdr:cNvPr>
          <xdr:cNvCxnSpPr/>
        </xdr:nvCxnSpPr>
        <xdr:spPr>
          <a:xfrm rot="10800000" flipH="1">
            <a:off x="6699005" y="6756003"/>
            <a:ext cx="443216" cy="2255"/>
          </a:xfrm>
          <a:prstGeom prst="straightConnector1">
            <a:avLst/>
          </a:prstGeom>
          <a:ln w="9525">
            <a:tailEnd type="arrow"/>
          </a:ln>
        </xdr:spPr>
        <xdr:style>
          <a:lnRef idx="1">
            <a:schemeClr val="dk1"/>
          </a:lnRef>
          <a:fillRef idx="0">
            <a:schemeClr val="dk1"/>
          </a:fillRef>
          <a:effectRef idx="0">
            <a:schemeClr val="dk1"/>
          </a:effectRef>
          <a:fontRef idx="minor">
            <a:schemeClr val="tx1"/>
          </a:fontRef>
        </xdr:style>
      </xdr:cxnSp>
      <xdr:grpSp>
        <xdr:nvGrpSpPr>
          <xdr:cNvPr id="99" name="Group 153">
            <a:extLst>
              <a:ext uri="{FF2B5EF4-FFF2-40B4-BE49-F238E27FC236}">
                <a16:creationId xmlns:a16="http://schemas.microsoft.com/office/drawing/2014/main" id="{00000000-0008-0000-0700-000063000000}"/>
              </a:ext>
            </a:extLst>
          </xdr:cNvPr>
          <xdr:cNvGrpSpPr/>
        </xdr:nvGrpSpPr>
        <xdr:grpSpPr>
          <a:xfrm>
            <a:off x="6696075" y="6426445"/>
            <a:ext cx="369277" cy="685800"/>
            <a:chOff x="3565460" y="6224525"/>
            <a:chExt cx="369277" cy="685800"/>
          </a:xfrm>
        </xdr:grpSpPr>
        <xdr:grpSp>
          <xdr:nvGrpSpPr>
            <xdr:cNvPr id="100" name="Group 141">
              <a:extLst>
                <a:ext uri="{FF2B5EF4-FFF2-40B4-BE49-F238E27FC236}">
                  <a16:creationId xmlns:a16="http://schemas.microsoft.com/office/drawing/2014/main" id="{00000000-0008-0000-0700-000064000000}"/>
                </a:ext>
              </a:extLst>
            </xdr:cNvPr>
            <xdr:cNvGrpSpPr/>
          </xdr:nvGrpSpPr>
          <xdr:grpSpPr>
            <a:xfrm>
              <a:off x="3577183" y="6620177"/>
              <a:ext cx="357554" cy="140677"/>
              <a:chOff x="3584331" y="6603022"/>
              <a:chExt cx="357554" cy="140677"/>
            </a:xfrm>
          </xdr:grpSpPr>
          <xdr:cxnSp macro="">
            <xdr:nvCxnSpPr>
              <xdr:cNvPr id="110" name="Straight Connector 109">
                <a:extLst>
                  <a:ext uri="{FF2B5EF4-FFF2-40B4-BE49-F238E27FC236}">
                    <a16:creationId xmlns:a16="http://schemas.microsoft.com/office/drawing/2014/main" id="{00000000-0008-0000-0700-00006E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11" name="Straight Arrow Connector 110">
                <a:extLst>
                  <a:ext uri="{FF2B5EF4-FFF2-40B4-BE49-F238E27FC236}">
                    <a16:creationId xmlns:a16="http://schemas.microsoft.com/office/drawing/2014/main" id="{00000000-0008-0000-0700-00006F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01" name="Group 140">
              <a:extLst>
                <a:ext uri="{FF2B5EF4-FFF2-40B4-BE49-F238E27FC236}">
                  <a16:creationId xmlns:a16="http://schemas.microsoft.com/office/drawing/2014/main" id="{00000000-0008-0000-0700-000065000000}"/>
                </a:ext>
              </a:extLst>
            </xdr:cNvPr>
            <xdr:cNvGrpSpPr/>
          </xdr:nvGrpSpPr>
          <xdr:grpSpPr>
            <a:xfrm>
              <a:off x="3565460" y="6743271"/>
              <a:ext cx="111369" cy="167054"/>
              <a:chOff x="3569677" y="6729047"/>
              <a:chExt cx="111369" cy="167054"/>
            </a:xfrm>
          </xdr:grpSpPr>
          <xdr:cxnSp macro="">
            <xdr:nvCxnSpPr>
              <xdr:cNvPr id="108" name="Straight Connector 107">
                <a:extLst>
                  <a:ext uri="{FF2B5EF4-FFF2-40B4-BE49-F238E27FC236}">
                    <a16:creationId xmlns:a16="http://schemas.microsoft.com/office/drawing/2014/main" id="{00000000-0008-0000-0700-00006C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09" name="Straight Arrow Connector 108">
                <a:extLst>
                  <a:ext uri="{FF2B5EF4-FFF2-40B4-BE49-F238E27FC236}">
                    <a16:creationId xmlns:a16="http://schemas.microsoft.com/office/drawing/2014/main" id="{00000000-0008-0000-0700-00006D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02" name="Group 142">
              <a:extLst>
                <a:ext uri="{FF2B5EF4-FFF2-40B4-BE49-F238E27FC236}">
                  <a16:creationId xmlns:a16="http://schemas.microsoft.com/office/drawing/2014/main" id="{00000000-0008-0000-0700-000066000000}"/>
                </a:ext>
              </a:extLst>
            </xdr:cNvPr>
            <xdr:cNvGrpSpPr/>
          </xdr:nvGrpSpPr>
          <xdr:grpSpPr>
            <a:xfrm flipV="1">
              <a:off x="3577183" y="6359339"/>
              <a:ext cx="357554" cy="140677"/>
              <a:chOff x="3584331" y="6603022"/>
              <a:chExt cx="357554" cy="140677"/>
            </a:xfrm>
          </xdr:grpSpPr>
          <xdr:cxnSp macro="">
            <xdr:nvCxnSpPr>
              <xdr:cNvPr id="106" name="Straight Connector 105">
                <a:extLst>
                  <a:ext uri="{FF2B5EF4-FFF2-40B4-BE49-F238E27FC236}">
                    <a16:creationId xmlns:a16="http://schemas.microsoft.com/office/drawing/2014/main" id="{00000000-0008-0000-0700-00006A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07" name="Straight Arrow Connector 106">
                <a:extLst>
                  <a:ext uri="{FF2B5EF4-FFF2-40B4-BE49-F238E27FC236}">
                    <a16:creationId xmlns:a16="http://schemas.microsoft.com/office/drawing/2014/main" id="{00000000-0008-0000-0700-00006B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03" name="Group 145">
              <a:extLst>
                <a:ext uri="{FF2B5EF4-FFF2-40B4-BE49-F238E27FC236}">
                  <a16:creationId xmlns:a16="http://schemas.microsoft.com/office/drawing/2014/main" id="{00000000-0008-0000-0700-000067000000}"/>
                </a:ext>
              </a:extLst>
            </xdr:cNvPr>
            <xdr:cNvGrpSpPr/>
          </xdr:nvGrpSpPr>
          <xdr:grpSpPr>
            <a:xfrm flipV="1">
              <a:off x="3571321" y="6224525"/>
              <a:ext cx="111369" cy="167054"/>
              <a:chOff x="3569677" y="6729047"/>
              <a:chExt cx="111369" cy="167054"/>
            </a:xfrm>
          </xdr:grpSpPr>
          <xdr:cxnSp macro="">
            <xdr:nvCxnSpPr>
              <xdr:cNvPr id="104" name="Straight Connector 103">
                <a:extLst>
                  <a:ext uri="{FF2B5EF4-FFF2-40B4-BE49-F238E27FC236}">
                    <a16:creationId xmlns:a16="http://schemas.microsoft.com/office/drawing/2014/main" id="{00000000-0008-0000-0700-000068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05" name="Straight Arrow Connector 104">
                <a:extLst>
                  <a:ext uri="{FF2B5EF4-FFF2-40B4-BE49-F238E27FC236}">
                    <a16:creationId xmlns:a16="http://schemas.microsoft.com/office/drawing/2014/main" id="{00000000-0008-0000-0700-000069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3</xdr:col>
      <xdr:colOff>47624</xdr:colOff>
      <xdr:row>8</xdr:row>
      <xdr:rowOff>303335</xdr:rowOff>
    </xdr:from>
    <xdr:to>
      <xdr:col>4</xdr:col>
      <xdr:colOff>74670</xdr:colOff>
      <xdr:row>13</xdr:row>
      <xdr:rowOff>91483</xdr:rowOff>
    </xdr:to>
    <xdr:grpSp>
      <xdr:nvGrpSpPr>
        <xdr:cNvPr id="112" name="Group 111">
          <a:extLst>
            <a:ext uri="{FF2B5EF4-FFF2-40B4-BE49-F238E27FC236}">
              <a16:creationId xmlns:a16="http://schemas.microsoft.com/office/drawing/2014/main" id="{00000000-0008-0000-0700-000070000000}"/>
            </a:ext>
          </a:extLst>
        </xdr:cNvPr>
        <xdr:cNvGrpSpPr/>
      </xdr:nvGrpSpPr>
      <xdr:grpSpPr>
        <a:xfrm rot="2360040">
          <a:off x="1447385" y="2282878"/>
          <a:ext cx="449459" cy="856605"/>
          <a:chOff x="6696075" y="6332660"/>
          <a:chExt cx="446146" cy="854948"/>
        </a:xfrm>
      </xdr:grpSpPr>
      <xdr:cxnSp macro="">
        <xdr:nvCxnSpPr>
          <xdr:cNvPr id="113" name="Elbow Connector 112">
            <a:extLst>
              <a:ext uri="{FF2B5EF4-FFF2-40B4-BE49-F238E27FC236}">
                <a16:creationId xmlns:a16="http://schemas.microsoft.com/office/drawing/2014/main" id="{00000000-0008-0000-0700-000071000000}"/>
              </a:ext>
            </a:extLst>
          </xdr:cNvPr>
          <xdr:cNvCxnSpPr/>
        </xdr:nvCxnSpPr>
        <xdr:spPr>
          <a:xfrm rot="5400000" flipH="1" flipV="1">
            <a:off x="6652719" y="6396941"/>
            <a:ext cx="304621"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114" name="Elbow Connector 113">
            <a:extLst>
              <a:ext uri="{FF2B5EF4-FFF2-40B4-BE49-F238E27FC236}">
                <a16:creationId xmlns:a16="http://schemas.microsoft.com/office/drawing/2014/main" id="{00000000-0008-0000-0700-000072000000}"/>
              </a:ext>
            </a:extLst>
          </xdr:cNvPr>
          <xdr:cNvCxnSpPr/>
        </xdr:nvCxnSpPr>
        <xdr:spPr>
          <a:xfrm rot="16200000" flipH="1">
            <a:off x="6656841" y="6948459"/>
            <a:ext cx="302239"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115" name="Straight Arrow Connector 114">
            <a:extLst>
              <a:ext uri="{FF2B5EF4-FFF2-40B4-BE49-F238E27FC236}">
                <a16:creationId xmlns:a16="http://schemas.microsoft.com/office/drawing/2014/main" id="{00000000-0008-0000-0700-000073000000}"/>
              </a:ext>
            </a:extLst>
          </xdr:cNvPr>
          <xdr:cNvCxnSpPr/>
        </xdr:nvCxnSpPr>
        <xdr:spPr>
          <a:xfrm rot="10800000" flipH="1">
            <a:off x="6699005" y="6756003"/>
            <a:ext cx="443216" cy="2255"/>
          </a:xfrm>
          <a:prstGeom prst="straightConnector1">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grpSp>
        <xdr:nvGrpSpPr>
          <xdr:cNvPr id="116" name="Group 153">
            <a:extLst>
              <a:ext uri="{FF2B5EF4-FFF2-40B4-BE49-F238E27FC236}">
                <a16:creationId xmlns:a16="http://schemas.microsoft.com/office/drawing/2014/main" id="{00000000-0008-0000-0700-000074000000}"/>
              </a:ext>
            </a:extLst>
          </xdr:cNvPr>
          <xdr:cNvGrpSpPr/>
        </xdr:nvGrpSpPr>
        <xdr:grpSpPr>
          <a:xfrm>
            <a:off x="6696075" y="6426445"/>
            <a:ext cx="369277" cy="685800"/>
            <a:chOff x="3565460" y="6224525"/>
            <a:chExt cx="369277" cy="685800"/>
          </a:xfrm>
        </xdr:grpSpPr>
        <xdr:grpSp>
          <xdr:nvGrpSpPr>
            <xdr:cNvPr id="117" name="Group 141">
              <a:extLst>
                <a:ext uri="{FF2B5EF4-FFF2-40B4-BE49-F238E27FC236}">
                  <a16:creationId xmlns:a16="http://schemas.microsoft.com/office/drawing/2014/main" id="{00000000-0008-0000-0700-000075000000}"/>
                </a:ext>
              </a:extLst>
            </xdr:cNvPr>
            <xdr:cNvGrpSpPr/>
          </xdr:nvGrpSpPr>
          <xdr:grpSpPr>
            <a:xfrm>
              <a:off x="3577183" y="6620177"/>
              <a:ext cx="357554" cy="140677"/>
              <a:chOff x="3584331" y="6603022"/>
              <a:chExt cx="357554" cy="140677"/>
            </a:xfrm>
          </xdr:grpSpPr>
          <xdr:cxnSp macro="">
            <xdr:nvCxnSpPr>
              <xdr:cNvPr id="127" name="Straight Connector 126">
                <a:extLst>
                  <a:ext uri="{FF2B5EF4-FFF2-40B4-BE49-F238E27FC236}">
                    <a16:creationId xmlns:a16="http://schemas.microsoft.com/office/drawing/2014/main" id="{00000000-0008-0000-0700-00007F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28" name="Straight Arrow Connector 127">
                <a:extLst>
                  <a:ext uri="{FF2B5EF4-FFF2-40B4-BE49-F238E27FC236}">
                    <a16:creationId xmlns:a16="http://schemas.microsoft.com/office/drawing/2014/main" id="{00000000-0008-0000-0700-000080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18" name="Group 140">
              <a:extLst>
                <a:ext uri="{FF2B5EF4-FFF2-40B4-BE49-F238E27FC236}">
                  <a16:creationId xmlns:a16="http://schemas.microsoft.com/office/drawing/2014/main" id="{00000000-0008-0000-0700-000076000000}"/>
                </a:ext>
              </a:extLst>
            </xdr:cNvPr>
            <xdr:cNvGrpSpPr/>
          </xdr:nvGrpSpPr>
          <xdr:grpSpPr>
            <a:xfrm>
              <a:off x="3565460" y="6743271"/>
              <a:ext cx="111369" cy="167054"/>
              <a:chOff x="3569677" y="6729047"/>
              <a:chExt cx="111369" cy="167054"/>
            </a:xfrm>
          </xdr:grpSpPr>
          <xdr:cxnSp macro="">
            <xdr:nvCxnSpPr>
              <xdr:cNvPr id="125" name="Straight Connector 124">
                <a:extLst>
                  <a:ext uri="{FF2B5EF4-FFF2-40B4-BE49-F238E27FC236}">
                    <a16:creationId xmlns:a16="http://schemas.microsoft.com/office/drawing/2014/main" id="{00000000-0008-0000-0700-00007D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26" name="Straight Arrow Connector 125">
                <a:extLst>
                  <a:ext uri="{FF2B5EF4-FFF2-40B4-BE49-F238E27FC236}">
                    <a16:creationId xmlns:a16="http://schemas.microsoft.com/office/drawing/2014/main" id="{00000000-0008-0000-0700-00007E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19" name="Group 142">
              <a:extLst>
                <a:ext uri="{FF2B5EF4-FFF2-40B4-BE49-F238E27FC236}">
                  <a16:creationId xmlns:a16="http://schemas.microsoft.com/office/drawing/2014/main" id="{00000000-0008-0000-0700-000077000000}"/>
                </a:ext>
              </a:extLst>
            </xdr:cNvPr>
            <xdr:cNvGrpSpPr/>
          </xdr:nvGrpSpPr>
          <xdr:grpSpPr>
            <a:xfrm flipV="1">
              <a:off x="3577183" y="6359339"/>
              <a:ext cx="357554" cy="140677"/>
              <a:chOff x="3584331" y="6603022"/>
              <a:chExt cx="357554" cy="140677"/>
            </a:xfrm>
          </xdr:grpSpPr>
          <xdr:cxnSp macro="">
            <xdr:nvCxnSpPr>
              <xdr:cNvPr id="123" name="Straight Connector 122">
                <a:extLst>
                  <a:ext uri="{FF2B5EF4-FFF2-40B4-BE49-F238E27FC236}">
                    <a16:creationId xmlns:a16="http://schemas.microsoft.com/office/drawing/2014/main" id="{00000000-0008-0000-0700-00007B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24" name="Straight Arrow Connector 123">
                <a:extLst>
                  <a:ext uri="{FF2B5EF4-FFF2-40B4-BE49-F238E27FC236}">
                    <a16:creationId xmlns:a16="http://schemas.microsoft.com/office/drawing/2014/main" id="{00000000-0008-0000-0700-00007C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20" name="Group 145">
              <a:extLst>
                <a:ext uri="{FF2B5EF4-FFF2-40B4-BE49-F238E27FC236}">
                  <a16:creationId xmlns:a16="http://schemas.microsoft.com/office/drawing/2014/main" id="{00000000-0008-0000-0700-000078000000}"/>
                </a:ext>
              </a:extLst>
            </xdr:cNvPr>
            <xdr:cNvGrpSpPr/>
          </xdr:nvGrpSpPr>
          <xdr:grpSpPr>
            <a:xfrm flipV="1">
              <a:off x="3571321" y="6224525"/>
              <a:ext cx="111369" cy="167054"/>
              <a:chOff x="3569677" y="6729047"/>
              <a:chExt cx="111369" cy="167054"/>
            </a:xfrm>
          </xdr:grpSpPr>
          <xdr:cxnSp macro="">
            <xdr:nvCxnSpPr>
              <xdr:cNvPr id="121" name="Straight Connector 120">
                <a:extLst>
                  <a:ext uri="{FF2B5EF4-FFF2-40B4-BE49-F238E27FC236}">
                    <a16:creationId xmlns:a16="http://schemas.microsoft.com/office/drawing/2014/main" id="{00000000-0008-0000-0700-000079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22" name="Straight Arrow Connector 121">
                <a:extLst>
                  <a:ext uri="{FF2B5EF4-FFF2-40B4-BE49-F238E27FC236}">
                    <a16:creationId xmlns:a16="http://schemas.microsoft.com/office/drawing/2014/main" id="{00000000-0008-0000-0700-00007A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16</xdr:col>
      <xdr:colOff>19050</xdr:colOff>
      <xdr:row>14</xdr:row>
      <xdr:rowOff>112835</xdr:rowOff>
    </xdr:from>
    <xdr:to>
      <xdr:col>17</xdr:col>
      <xdr:colOff>74671</xdr:colOff>
      <xdr:row>20</xdr:row>
      <xdr:rowOff>43858</xdr:rowOff>
    </xdr:to>
    <xdr:grpSp>
      <xdr:nvGrpSpPr>
        <xdr:cNvPr id="129" name="Group 128">
          <a:extLst>
            <a:ext uri="{FF2B5EF4-FFF2-40B4-BE49-F238E27FC236}">
              <a16:creationId xmlns:a16="http://schemas.microsoft.com/office/drawing/2014/main" id="{00000000-0008-0000-0700-000081000000}"/>
            </a:ext>
          </a:extLst>
        </xdr:cNvPr>
        <xdr:cNvGrpSpPr/>
      </xdr:nvGrpSpPr>
      <xdr:grpSpPr>
        <a:xfrm flipH="1">
          <a:off x="4259746" y="3260226"/>
          <a:ext cx="444903" cy="858675"/>
          <a:chOff x="6696075" y="6332660"/>
          <a:chExt cx="446146" cy="854948"/>
        </a:xfrm>
      </xdr:grpSpPr>
      <xdr:cxnSp macro="">
        <xdr:nvCxnSpPr>
          <xdr:cNvPr id="130" name="Elbow Connector 129">
            <a:extLst>
              <a:ext uri="{FF2B5EF4-FFF2-40B4-BE49-F238E27FC236}">
                <a16:creationId xmlns:a16="http://schemas.microsoft.com/office/drawing/2014/main" id="{00000000-0008-0000-0700-000082000000}"/>
              </a:ext>
            </a:extLst>
          </xdr:cNvPr>
          <xdr:cNvCxnSpPr/>
        </xdr:nvCxnSpPr>
        <xdr:spPr>
          <a:xfrm rot="5400000" flipH="1" flipV="1">
            <a:off x="6652719" y="6396941"/>
            <a:ext cx="304621"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131" name="Elbow Connector 130">
            <a:extLst>
              <a:ext uri="{FF2B5EF4-FFF2-40B4-BE49-F238E27FC236}">
                <a16:creationId xmlns:a16="http://schemas.microsoft.com/office/drawing/2014/main" id="{00000000-0008-0000-0700-000083000000}"/>
              </a:ext>
            </a:extLst>
          </xdr:cNvPr>
          <xdr:cNvCxnSpPr/>
        </xdr:nvCxnSpPr>
        <xdr:spPr>
          <a:xfrm rot="16200000" flipH="1">
            <a:off x="6656841" y="6948459"/>
            <a:ext cx="302239" cy="176059"/>
          </a:xfrm>
          <a:prstGeom prst="bentConnector3">
            <a:avLst>
              <a:gd name="adj1" fmla="val -387"/>
            </a:avLst>
          </a:prstGeom>
          <a:ln w="9525">
            <a:tailEnd type="arrow"/>
          </a:ln>
        </xdr:spPr>
        <xdr:style>
          <a:lnRef idx="1">
            <a:schemeClr val="dk1"/>
          </a:lnRef>
          <a:fillRef idx="0">
            <a:schemeClr val="dk1"/>
          </a:fillRef>
          <a:effectRef idx="0">
            <a:schemeClr val="dk1"/>
          </a:effectRef>
          <a:fontRef idx="minor">
            <a:schemeClr val="tx1"/>
          </a:fontRef>
        </xdr:style>
      </xdr:cxnSp>
      <xdr:cxnSp macro="">
        <xdr:nvCxnSpPr>
          <xdr:cNvPr id="132" name="Straight Arrow Connector 131">
            <a:extLst>
              <a:ext uri="{FF2B5EF4-FFF2-40B4-BE49-F238E27FC236}">
                <a16:creationId xmlns:a16="http://schemas.microsoft.com/office/drawing/2014/main" id="{00000000-0008-0000-0700-000084000000}"/>
              </a:ext>
            </a:extLst>
          </xdr:cNvPr>
          <xdr:cNvCxnSpPr/>
        </xdr:nvCxnSpPr>
        <xdr:spPr>
          <a:xfrm rot="10800000" flipH="1">
            <a:off x="6699005" y="6756003"/>
            <a:ext cx="443216" cy="2255"/>
          </a:xfrm>
          <a:prstGeom prst="straightConnector1">
            <a:avLst/>
          </a:prstGeom>
          <a:ln w="9525">
            <a:tailEnd type="arrow"/>
          </a:ln>
        </xdr:spPr>
        <xdr:style>
          <a:lnRef idx="1">
            <a:schemeClr val="dk1"/>
          </a:lnRef>
          <a:fillRef idx="0">
            <a:schemeClr val="dk1"/>
          </a:fillRef>
          <a:effectRef idx="0">
            <a:schemeClr val="dk1"/>
          </a:effectRef>
          <a:fontRef idx="minor">
            <a:schemeClr val="tx1"/>
          </a:fontRef>
        </xdr:style>
      </xdr:cxnSp>
      <xdr:grpSp>
        <xdr:nvGrpSpPr>
          <xdr:cNvPr id="133" name="Group 153">
            <a:extLst>
              <a:ext uri="{FF2B5EF4-FFF2-40B4-BE49-F238E27FC236}">
                <a16:creationId xmlns:a16="http://schemas.microsoft.com/office/drawing/2014/main" id="{00000000-0008-0000-0700-000085000000}"/>
              </a:ext>
            </a:extLst>
          </xdr:cNvPr>
          <xdr:cNvGrpSpPr/>
        </xdr:nvGrpSpPr>
        <xdr:grpSpPr>
          <a:xfrm>
            <a:off x="6696075" y="6426445"/>
            <a:ext cx="369277" cy="685800"/>
            <a:chOff x="3565460" y="6224525"/>
            <a:chExt cx="369277" cy="685800"/>
          </a:xfrm>
        </xdr:grpSpPr>
        <xdr:grpSp>
          <xdr:nvGrpSpPr>
            <xdr:cNvPr id="134" name="Group 141">
              <a:extLst>
                <a:ext uri="{FF2B5EF4-FFF2-40B4-BE49-F238E27FC236}">
                  <a16:creationId xmlns:a16="http://schemas.microsoft.com/office/drawing/2014/main" id="{00000000-0008-0000-0700-000086000000}"/>
                </a:ext>
              </a:extLst>
            </xdr:cNvPr>
            <xdr:cNvGrpSpPr/>
          </xdr:nvGrpSpPr>
          <xdr:grpSpPr>
            <a:xfrm>
              <a:off x="3577183" y="6620177"/>
              <a:ext cx="357554" cy="140677"/>
              <a:chOff x="3584331" y="6603022"/>
              <a:chExt cx="357554" cy="140677"/>
            </a:xfrm>
          </xdr:grpSpPr>
          <xdr:cxnSp macro="">
            <xdr:nvCxnSpPr>
              <xdr:cNvPr id="144" name="Straight Connector 143">
                <a:extLst>
                  <a:ext uri="{FF2B5EF4-FFF2-40B4-BE49-F238E27FC236}">
                    <a16:creationId xmlns:a16="http://schemas.microsoft.com/office/drawing/2014/main" id="{00000000-0008-0000-0700-000090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45" name="Straight Arrow Connector 144">
                <a:extLst>
                  <a:ext uri="{FF2B5EF4-FFF2-40B4-BE49-F238E27FC236}">
                    <a16:creationId xmlns:a16="http://schemas.microsoft.com/office/drawing/2014/main" id="{00000000-0008-0000-0700-000091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35" name="Group 140">
              <a:extLst>
                <a:ext uri="{FF2B5EF4-FFF2-40B4-BE49-F238E27FC236}">
                  <a16:creationId xmlns:a16="http://schemas.microsoft.com/office/drawing/2014/main" id="{00000000-0008-0000-0700-000087000000}"/>
                </a:ext>
              </a:extLst>
            </xdr:cNvPr>
            <xdr:cNvGrpSpPr/>
          </xdr:nvGrpSpPr>
          <xdr:grpSpPr>
            <a:xfrm>
              <a:off x="3565460" y="6743271"/>
              <a:ext cx="111369" cy="167054"/>
              <a:chOff x="3569677" y="6729047"/>
              <a:chExt cx="111369" cy="167054"/>
            </a:xfrm>
          </xdr:grpSpPr>
          <xdr:cxnSp macro="">
            <xdr:nvCxnSpPr>
              <xdr:cNvPr id="142" name="Straight Connector 141">
                <a:extLst>
                  <a:ext uri="{FF2B5EF4-FFF2-40B4-BE49-F238E27FC236}">
                    <a16:creationId xmlns:a16="http://schemas.microsoft.com/office/drawing/2014/main" id="{00000000-0008-0000-0700-00008E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43" name="Straight Arrow Connector 142">
                <a:extLst>
                  <a:ext uri="{FF2B5EF4-FFF2-40B4-BE49-F238E27FC236}">
                    <a16:creationId xmlns:a16="http://schemas.microsoft.com/office/drawing/2014/main" id="{00000000-0008-0000-0700-00008F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36" name="Group 142">
              <a:extLst>
                <a:ext uri="{FF2B5EF4-FFF2-40B4-BE49-F238E27FC236}">
                  <a16:creationId xmlns:a16="http://schemas.microsoft.com/office/drawing/2014/main" id="{00000000-0008-0000-0700-000088000000}"/>
                </a:ext>
              </a:extLst>
            </xdr:cNvPr>
            <xdr:cNvGrpSpPr/>
          </xdr:nvGrpSpPr>
          <xdr:grpSpPr>
            <a:xfrm flipV="1">
              <a:off x="3577183" y="6359339"/>
              <a:ext cx="357554" cy="140677"/>
              <a:chOff x="3584331" y="6603022"/>
              <a:chExt cx="357554" cy="140677"/>
            </a:xfrm>
          </xdr:grpSpPr>
          <xdr:cxnSp macro="">
            <xdr:nvCxnSpPr>
              <xdr:cNvPr id="140" name="Straight Connector 139">
                <a:extLst>
                  <a:ext uri="{FF2B5EF4-FFF2-40B4-BE49-F238E27FC236}">
                    <a16:creationId xmlns:a16="http://schemas.microsoft.com/office/drawing/2014/main" id="{00000000-0008-0000-0700-00008C000000}"/>
                  </a:ext>
                </a:extLst>
              </xdr:cNvPr>
              <xdr:cNvCxnSpPr/>
            </xdr:nvCxnSpPr>
            <xdr:spPr>
              <a:xfrm>
                <a:off x="3584331" y="6603023"/>
                <a:ext cx="21980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41" name="Straight Arrow Connector 140">
                <a:extLst>
                  <a:ext uri="{FF2B5EF4-FFF2-40B4-BE49-F238E27FC236}">
                    <a16:creationId xmlns:a16="http://schemas.microsoft.com/office/drawing/2014/main" id="{00000000-0008-0000-0700-00008D000000}"/>
                  </a:ext>
                </a:extLst>
              </xdr:cNvPr>
              <xdr:cNvCxnSpPr/>
            </xdr:nvCxnSpPr>
            <xdr:spPr>
              <a:xfrm rot="16200000" flipH="1">
                <a:off x="3801208" y="6603022"/>
                <a:ext cx="140677" cy="140677"/>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37" name="Group 145">
              <a:extLst>
                <a:ext uri="{FF2B5EF4-FFF2-40B4-BE49-F238E27FC236}">
                  <a16:creationId xmlns:a16="http://schemas.microsoft.com/office/drawing/2014/main" id="{00000000-0008-0000-0700-000089000000}"/>
                </a:ext>
              </a:extLst>
            </xdr:cNvPr>
            <xdr:cNvGrpSpPr/>
          </xdr:nvGrpSpPr>
          <xdr:grpSpPr>
            <a:xfrm flipV="1">
              <a:off x="3571321" y="6224525"/>
              <a:ext cx="111369" cy="167054"/>
              <a:chOff x="3569677" y="6729047"/>
              <a:chExt cx="111369" cy="167054"/>
            </a:xfrm>
          </xdr:grpSpPr>
          <xdr:cxnSp macro="">
            <xdr:nvCxnSpPr>
              <xdr:cNvPr id="138" name="Straight Connector 137">
                <a:extLst>
                  <a:ext uri="{FF2B5EF4-FFF2-40B4-BE49-F238E27FC236}">
                    <a16:creationId xmlns:a16="http://schemas.microsoft.com/office/drawing/2014/main" id="{00000000-0008-0000-0700-00008A000000}"/>
                  </a:ext>
                </a:extLst>
              </xdr:cNvPr>
              <xdr:cNvCxnSpPr/>
            </xdr:nvCxnSpPr>
            <xdr:spPr>
              <a:xfrm>
                <a:off x="3578469" y="6734908"/>
                <a:ext cx="102577" cy="1588"/>
              </a:xfrm>
              <a:prstGeom prst="line">
                <a:avLst/>
              </a:prstGeom>
              <a:ln>
                <a:solidFill>
                  <a:schemeClr val="accent1">
                    <a:lumMod val="60000"/>
                    <a:lumOff val="40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39" name="Straight Arrow Connector 138">
                <a:extLst>
                  <a:ext uri="{FF2B5EF4-FFF2-40B4-BE49-F238E27FC236}">
                    <a16:creationId xmlns:a16="http://schemas.microsoft.com/office/drawing/2014/main" id="{00000000-0008-0000-0700-00008B000000}"/>
                  </a:ext>
                </a:extLst>
              </xdr:cNvPr>
              <xdr:cNvCxnSpPr/>
            </xdr:nvCxnSpPr>
            <xdr:spPr>
              <a:xfrm rot="5400000">
                <a:off x="3541835" y="6756889"/>
                <a:ext cx="167054" cy="111369"/>
              </a:xfrm>
              <a:prstGeom prst="straightConnector1">
                <a:avLst/>
              </a:prstGeom>
              <a:ln>
                <a:solidFill>
                  <a:schemeClr val="accent1">
                    <a:lumMod val="60000"/>
                    <a:lumOff val="40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15</xdr:col>
      <xdr:colOff>76199</xdr:colOff>
      <xdr:row>8</xdr:row>
      <xdr:rowOff>312860</xdr:rowOff>
    </xdr:from>
    <xdr:to>
      <xdr:col>16</xdr:col>
      <xdr:colOff>369945</xdr:colOff>
      <xdr:row>14</xdr:row>
      <xdr:rowOff>5758</xdr:rowOff>
    </xdr:to>
    <xdr:grpSp>
      <xdr:nvGrpSpPr>
        <xdr:cNvPr id="146" name="Group 145">
          <a:extLst>
            <a:ext uri="{FF2B5EF4-FFF2-40B4-BE49-F238E27FC236}">
              <a16:creationId xmlns:a16="http://schemas.microsoft.com/office/drawing/2014/main" id="{00000000-0008-0000-0700-000092000000}"/>
            </a:ext>
          </a:extLst>
        </xdr:cNvPr>
        <xdr:cNvGrpSpPr/>
      </xdr:nvGrpSpPr>
      <xdr:grpSpPr>
        <a:xfrm rot="8547960">
          <a:off x="4167808" y="2292403"/>
          <a:ext cx="442833" cy="860746"/>
          <a:chOff x="6696075" y="6332660"/>
          <a:chExt cx="446146" cy="854948"/>
        </a:xfrm>
      </xdr:grpSpPr>
      <xdr:cxnSp macro="">
        <xdr:nvCxnSpPr>
          <xdr:cNvPr id="147" name="Elbow Connector 146">
            <a:extLst>
              <a:ext uri="{FF2B5EF4-FFF2-40B4-BE49-F238E27FC236}">
                <a16:creationId xmlns:a16="http://schemas.microsoft.com/office/drawing/2014/main" id="{00000000-0008-0000-0700-000093000000}"/>
              </a:ext>
            </a:extLst>
          </xdr:cNvPr>
          <xdr:cNvCxnSpPr/>
        </xdr:nvCxnSpPr>
        <xdr:spPr>
          <a:xfrm rot="5400000" flipH="1" flipV="1">
            <a:off x="6652719" y="6396941"/>
            <a:ext cx="304621"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148" name="Elbow Connector 147">
            <a:extLst>
              <a:ext uri="{FF2B5EF4-FFF2-40B4-BE49-F238E27FC236}">
                <a16:creationId xmlns:a16="http://schemas.microsoft.com/office/drawing/2014/main" id="{00000000-0008-0000-0700-000094000000}"/>
              </a:ext>
            </a:extLst>
          </xdr:cNvPr>
          <xdr:cNvCxnSpPr/>
        </xdr:nvCxnSpPr>
        <xdr:spPr>
          <a:xfrm rot="16200000" flipH="1">
            <a:off x="6656841" y="6948459"/>
            <a:ext cx="302239"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149" name="Straight Arrow Connector 148">
            <a:extLst>
              <a:ext uri="{FF2B5EF4-FFF2-40B4-BE49-F238E27FC236}">
                <a16:creationId xmlns:a16="http://schemas.microsoft.com/office/drawing/2014/main" id="{00000000-0008-0000-0700-000095000000}"/>
              </a:ext>
            </a:extLst>
          </xdr:cNvPr>
          <xdr:cNvCxnSpPr/>
        </xdr:nvCxnSpPr>
        <xdr:spPr>
          <a:xfrm rot="10800000" flipH="1">
            <a:off x="6699005" y="6756003"/>
            <a:ext cx="443216" cy="2255"/>
          </a:xfrm>
          <a:prstGeom prst="straightConnector1">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grpSp>
        <xdr:nvGrpSpPr>
          <xdr:cNvPr id="150" name="Group 149">
            <a:extLst>
              <a:ext uri="{FF2B5EF4-FFF2-40B4-BE49-F238E27FC236}">
                <a16:creationId xmlns:a16="http://schemas.microsoft.com/office/drawing/2014/main" id="{00000000-0008-0000-0700-000096000000}"/>
              </a:ext>
            </a:extLst>
          </xdr:cNvPr>
          <xdr:cNvGrpSpPr/>
        </xdr:nvGrpSpPr>
        <xdr:grpSpPr>
          <a:xfrm>
            <a:off x="6696075" y="6426445"/>
            <a:ext cx="369277" cy="685800"/>
            <a:chOff x="3565460" y="6224525"/>
            <a:chExt cx="369277" cy="685800"/>
          </a:xfrm>
        </xdr:grpSpPr>
        <xdr:grpSp>
          <xdr:nvGrpSpPr>
            <xdr:cNvPr id="151" name="Group 141">
              <a:extLst>
                <a:ext uri="{FF2B5EF4-FFF2-40B4-BE49-F238E27FC236}">
                  <a16:creationId xmlns:a16="http://schemas.microsoft.com/office/drawing/2014/main" id="{00000000-0008-0000-0700-000097000000}"/>
                </a:ext>
              </a:extLst>
            </xdr:cNvPr>
            <xdr:cNvGrpSpPr/>
          </xdr:nvGrpSpPr>
          <xdr:grpSpPr>
            <a:xfrm>
              <a:off x="3577183" y="6620177"/>
              <a:ext cx="357554" cy="140677"/>
              <a:chOff x="3584331" y="6603022"/>
              <a:chExt cx="357554" cy="140677"/>
            </a:xfrm>
          </xdr:grpSpPr>
          <xdr:cxnSp macro="">
            <xdr:nvCxnSpPr>
              <xdr:cNvPr id="161" name="Straight Connector 160">
                <a:extLst>
                  <a:ext uri="{FF2B5EF4-FFF2-40B4-BE49-F238E27FC236}">
                    <a16:creationId xmlns:a16="http://schemas.microsoft.com/office/drawing/2014/main" id="{00000000-0008-0000-0700-0000A1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62" name="Straight Arrow Connector 161">
                <a:extLst>
                  <a:ext uri="{FF2B5EF4-FFF2-40B4-BE49-F238E27FC236}">
                    <a16:creationId xmlns:a16="http://schemas.microsoft.com/office/drawing/2014/main" id="{00000000-0008-0000-0700-0000A2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52" name="Group 140">
              <a:extLst>
                <a:ext uri="{FF2B5EF4-FFF2-40B4-BE49-F238E27FC236}">
                  <a16:creationId xmlns:a16="http://schemas.microsoft.com/office/drawing/2014/main" id="{00000000-0008-0000-0700-000098000000}"/>
                </a:ext>
              </a:extLst>
            </xdr:cNvPr>
            <xdr:cNvGrpSpPr/>
          </xdr:nvGrpSpPr>
          <xdr:grpSpPr>
            <a:xfrm>
              <a:off x="3565460" y="6743271"/>
              <a:ext cx="111369" cy="167054"/>
              <a:chOff x="3569677" y="6729047"/>
              <a:chExt cx="111369" cy="167054"/>
            </a:xfrm>
          </xdr:grpSpPr>
          <xdr:cxnSp macro="">
            <xdr:nvCxnSpPr>
              <xdr:cNvPr id="159" name="Straight Connector 158">
                <a:extLst>
                  <a:ext uri="{FF2B5EF4-FFF2-40B4-BE49-F238E27FC236}">
                    <a16:creationId xmlns:a16="http://schemas.microsoft.com/office/drawing/2014/main" id="{00000000-0008-0000-0700-00009F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60" name="Straight Arrow Connector 159">
                <a:extLst>
                  <a:ext uri="{FF2B5EF4-FFF2-40B4-BE49-F238E27FC236}">
                    <a16:creationId xmlns:a16="http://schemas.microsoft.com/office/drawing/2014/main" id="{00000000-0008-0000-0700-0000A0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53" name="Group 142">
              <a:extLst>
                <a:ext uri="{FF2B5EF4-FFF2-40B4-BE49-F238E27FC236}">
                  <a16:creationId xmlns:a16="http://schemas.microsoft.com/office/drawing/2014/main" id="{00000000-0008-0000-0700-000099000000}"/>
                </a:ext>
              </a:extLst>
            </xdr:cNvPr>
            <xdr:cNvGrpSpPr/>
          </xdr:nvGrpSpPr>
          <xdr:grpSpPr>
            <a:xfrm flipV="1">
              <a:off x="3577183" y="6359339"/>
              <a:ext cx="357554" cy="140677"/>
              <a:chOff x="3584331" y="6603022"/>
              <a:chExt cx="357554" cy="140677"/>
            </a:xfrm>
          </xdr:grpSpPr>
          <xdr:cxnSp macro="">
            <xdr:nvCxnSpPr>
              <xdr:cNvPr id="157" name="Straight Connector 156">
                <a:extLst>
                  <a:ext uri="{FF2B5EF4-FFF2-40B4-BE49-F238E27FC236}">
                    <a16:creationId xmlns:a16="http://schemas.microsoft.com/office/drawing/2014/main" id="{00000000-0008-0000-0700-00009D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58" name="Straight Arrow Connector 157">
                <a:extLst>
                  <a:ext uri="{FF2B5EF4-FFF2-40B4-BE49-F238E27FC236}">
                    <a16:creationId xmlns:a16="http://schemas.microsoft.com/office/drawing/2014/main" id="{00000000-0008-0000-0700-00009E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54" name="Group 145">
              <a:extLst>
                <a:ext uri="{FF2B5EF4-FFF2-40B4-BE49-F238E27FC236}">
                  <a16:creationId xmlns:a16="http://schemas.microsoft.com/office/drawing/2014/main" id="{00000000-0008-0000-0700-00009A000000}"/>
                </a:ext>
              </a:extLst>
            </xdr:cNvPr>
            <xdr:cNvGrpSpPr/>
          </xdr:nvGrpSpPr>
          <xdr:grpSpPr>
            <a:xfrm flipV="1">
              <a:off x="3571321" y="6224525"/>
              <a:ext cx="111369" cy="167054"/>
              <a:chOff x="3569677" y="6729047"/>
              <a:chExt cx="111369" cy="167054"/>
            </a:xfrm>
          </xdr:grpSpPr>
          <xdr:cxnSp macro="">
            <xdr:nvCxnSpPr>
              <xdr:cNvPr id="155" name="Straight Connector 154">
                <a:extLst>
                  <a:ext uri="{FF2B5EF4-FFF2-40B4-BE49-F238E27FC236}">
                    <a16:creationId xmlns:a16="http://schemas.microsoft.com/office/drawing/2014/main" id="{00000000-0008-0000-0700-00009B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56" name="Straight Arrow Connector 155">
                <a:extLst>
                  <a:ext uri="{FF2B5EF4-FFF2-40B4-BE49-F238E27FC236}">
                    <a16:creationId xmlns:a16="http://schemas.microsoft.com/office/drawing/2014/main" id="{00000000-0008-0000-0700-00009C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twoCellAnchor>
    <xdr:from>
      <xdr:col>14</xdr:col>
      <xdr:colOff>233748</xdr:colOff>
      <xdr:row>22</xdr:row>
      <xdr:rowOff>98162</xdr:rowOff>
    </xdr:from>
    <xdr:to>
      <xdr:col>18</xdr:col>
      <xdr:colOff>2846</xdr:colOff>
      <xdr:row>24</xdr:row>
      <xdr:rowOff>239508</xdr:rowOff>
    </xdr:to>
    <xdr:grpSp>
      <xdr:nvGrpSpPr>
        <xdr:cNvPr id="163" name="Group 162">
          <a:extLst>
            <a:ext uri="{FF2B5EF4-FFF2-40B4-BE49-F238E27FC236}">
              <a16:creationId xmlns:a16="http://schemas.microsoft.com/office/drawing/2014/main" id="{00000000-0008-0000-0700-0000A3000000}"/>
            </a:ext>
          </a:extLst>
        </xdr:cNvPr>
        <xdr:cNvGrpSpPr/>
      </xdr:nvGrpSpPr>
      <xdr:grpSpPr>
        <a:xfrm rot="13947960">
          <a:off x="4135092" y="4222666"/>
          <a:ext cx="447802" cy="845837"/>
          <a:chOff x="6696075" y="6332660"/>
          <a:chExt cx="446146" cy="854948"/>
        </a:xfrm>
      </xdr:grpSpPr>
      <xdr:cxnSp macro="">
        <xdr:nvCxnSpPr>
          <xdr:cNvPr id="164" name="Elbow Connector 163">
            <a:extLst>
              <a:ext uri="{FF2B5EF4-FFF2-40B4-BE49-F238E27FC236}">
                <a16:creationId xmlns:a16="http://schemas.microsoft.com/office/drawing/2014/main" id="{00000000-0008-0000-0700-0000A4000000}"/>
              </a:ext>
            </a:extLst>
          </xdr:cNvPr>
          <xdr:cNvCxnSpPr/>
        </xdr:nvCxnSpPr>
        <xdr:spPr>
          <a:xfrm rot="5400000" flipH="1" flipV="1">
            <a:off x="6652719" y="6396941"/>
            <a:ext cx="304621"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165" name="Elbow Connector 164">
            <a:extLst>
              <a:ext uri="{FF2B5EF4-FFF2-40B4-BE49-F238E27FC236}">
                <a16:creationId xmlns:a16="http://schemas.microsoft.com/office/drawing/2014/main" id="{00000000-0008-0000-0700-0000A5000000}"/>
              </a:ext>
            </a:extLst>
          </xdr:cNvPr>
          <xdr:cNvCxnSpPr/>
        </xdr:nvCxnSpPr>
        <xdr:spPr>
          <a:xfrm rot="16200000" flipH="1">
            <a:off x="6656841" y="6948459"/>
            <a:ext cx="302239" cy="176059"/>
          </a:xfrm>
          <a:prstGeom prst="bentConnector3">
            <a:avLst>
              <a:gd name="adj1" fmla="val -387"/>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cxnSp macro="">
        <xdr:nvCxnSpPr>
          <xdr:cNvPr id="166" name="Straight Arrow Connector 165">
            <a:extLst>
              <a:ext uri="{FF2B5EF4-FFF2-40B4-BE49-F238E27FC236}">
                <a16:creationId xmlns:a16="http://schemas.microsoft.com/office/drawing/2014/main" id="{00000000-0008-0000-0700-0000A6000000}"/>
              </a:ext>
            </a:extLst>
          </xdr:cNvPr>
          <xdr:cNvCxnSpPr/>
        </xdr:nvCxnSpPr>
        <xdr:spPr>
          <a:xfrm rot="10800000" flipH="1">
            <a:off x="6699005" y="6756003"/>
            <a:ext cx="443216" cy="2255"/>
          </a:xfrm>
          <a:prstGeom prst="straightConnector1">
            <a:avLst/>
          </a:prstGeom>
          <a:ln w="9525">
            <a:solidFill>
              <a:schemeClr val="bg1">
                <a:lumMod val="65000"/>
              </a:schemeClr>
            </a:solidFill>
            <a:tailEnd type="arrow"/>
          </a:ln>
        </xdr:spPr>
        <xdr:style>
          <a:lnRef idx="1">
            <a:schemeClr val="dk1"/>
          </a:lnRef>
          <a:fillRef idx="0">
            <a:schemeClr val="dk1"/>
          </a:fillRef>
          <a:effectRef idx="0">
            <a:schemeClr val="dk1"/>
          </a:effectRef>
          <a:fontRef idx="minor">
            <a:schemeClr val="tx1"/>
          </a:fontRef>
        </xdr:style>
      </xdr:cxnSp>
      <xdr:grpSp>
        <xdr:nvGrpSpPr>
          <xdr:cNvPr id="167" name="Group 153">
            <a:extLst>
              <a:ext uri="{FF2B5EF4-FFF2-40B4-BE49-F238E27FC236}">
                <a16:creationId xmlns:a16="http://schemas.microsoft.com/office/drawing/2014/main" id="{00000000-0008-0000-0700-0000A7000000}"/>
              </a:ext>
            </a:extLst>
          </xdr:cNvPr>
          <xdr:cNvGrpSpPr/>
        </xdr:nvGrpSpPr>
        <xdr:grpSpPr>
          <a:xfrm>
            <a:off x="6696075" y="6426445"/>
            <a:ext cx="369277" cy="685800"/>
            <a:chOff x="3565460" y="6224525"/>
            <a:chExt cx="369277" cy="685800"/>
          </a:xfrm>
        </xdr:grpSpPr>
        <xdr:grpSp>
          <xdr:nvGrpSpPr>
            <xdr:cNvPr id="168" name="Group 141">
              <a:extLst>
                <a:ext uri="{FF2B5EF4-FFF2-40B4-BE49-F238E27FC236}">
                  <a16:creationId xmlns:a16="http://schemas.microsoft.com/office/drawing/2014/main" id="{00000000-0008-0000-0700-0000A8000000}"/>
                </a:ext>
              </a:extLst>
            </xdr:cNvPr>
            <xdr:cNvGrpSpPr/>
          </xdr:nvGrpSpPr>
          <xdr:grpSpPr>
            <a:xfrm>
              <a:off x="3577183" y="6620177"/>
              <a:ext cx="357554" cy="140677"/>
              <a:chOff x="3584331" y="6603022"/>
              <a:chExt cx="357554" cy="140677"/>
            </a:xfrm>
          </xdr:grpSpPr>
          <xdr:cxnSp macro="">
            <xdr:nvCxnSpPr>
              <xdr:cNvPr id="178" name="Straight Connector 177">
                <a:extLst>
                  <a:ext uri="{FF2B5EF4-FFF2-40B4-BE49-F238E27FC236}">
                    <a16:creationId xmlns:a16="http://schemas.microsoft.com/office/drawing/2014/main" id="{00000000-0008-0000-0700-0000B2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79" name="Straight Arrow Connector 178">
                <a:extLst>
                  <a:ext uri="{FF2B5EF4-FFF2-40B4-BE49-F238E27FC236}">
                    <a16:creationId xmlns:a16="http://schemas.microsoft.com/office/drawing/2014/main" id="{00000000-0008-0000-0700-0000B3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69" name="Group 140">
              <a:extLst>
                <a:ext uri="{FF2B5EF4-FFF2-40B4-BE49-F238E27FC236}">
                  <a16:creationId xmlns:a16="http://schemas.microsoft.com/office/drawing/2014/main" id="{00000000-0008-0000-0700-0000A9000000}"/>
                </a:ext>
              </a:extLst>
            </xdr:cNvPr>
            <xdr:cNvGrpSpPr/>
          </xdr:nvGrpSpPr>
          <xdr:grpSpPr>
            <a:xfrm>
              <a:off x="3565460" y="6743271"/>
              <a:ext cx="111369" cy="167054"/>
              <a:chOff x="3569677" y="6729047"/>
              <a:chExt cx="111369" cy="167054"/>
            </a:xfrm>
          </xdr:grpSpPr>
          <xdr:cxnSp macro="">
            <xdr:nvCxnSpPr>
              <xdr:cNvPr id="176" name="Straight Connector 175">
                <a:extLst>
                  <a:ext uri="{FF2B5EF4-FFF2-40B4-BE49-F238E27FC236}">
                    <a16:creationId xmlns:a16="http://schemas.microsoft.com/office/drawing/2014/main" id="{00000000-0008-0000-0700-0000B0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77" name="Straight Arrow Connector 176">
                <a:extLst>
                  <a:ext uri="{FF2B5EF4-FFF2-40B4-BE49-F238E27FC236}">
                    <a16:creationId xmlns:a16="http://schemas.microsoft.com/office/drawing/2014/main" id="{00000000-0008-0000-0700-0000B1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70" name="Group 142">
              <a:extLst>
                <a:ext uri="{FF2B5EF4-FFF2-40B4-BE49-F238E27FC236}">
                  <a16:creationId xmlns:a16="http://schemas.microsoft.com/office/drawing/2014/main" id="{00000000-0008-0000-0700-0000AA000000}"/>
                </a:ext>
              </a:extLst>
            </xdr:cNvPr>
            <xdr:cNvGrpSpPr/>
          </xdr:nvGrpSpPr>
          <xdr:grpSpPr>
            <a:xfrm flipV="1">
              <a:off x="3577183" y="6359339"/>
              <a:ext cx="357554" cy="140677"/>
              <a:chOff x="3584331" y="6603022"/>
              <a:chExt cx="357554" cy="140677"/>
            </a:xfrm>
          </xdr:grpSpPr>
          <xdr:cxnSp macro="">
            <xdr:nvCxnSpPr>
              <xdr:cNvPr id="174" name="Straight Connector 173">
                <a:extLst>
                  <a:ext uri="{FF2B5EF4-FFF2-40B4-BE49-F238E27FC236}">
                    <a16:creationId xmlns:a16="http://schemas.microsoft.com/office/drawing/2014/main" id="{00000000-0008-0000-0700-0000AE000000}"/>
                  </a:ext>
                </a:extLst>
              </xdr:cNvPr>
              <xdr:cNvCxnSpPr/>
            </xdr:nvCxnSpPr>
            <xdr:spPr>
              <a:xfrm>
                <a:off x="3584331" y="6603023"/>
                <a:ext cx="21980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75" name="Straight Arrow Connector 174">
                <a:extLst>
                  <a:ext uri="{FF2B5EF4-FFF2-40B4-BE49-F238E27FC236}">
                    <a16:creationId xmlns:a16="http://schemas.microsoft.com/office/drawing/2014/main" id="{00000000-0008-0000-0700-0000AF000000}"/>
                  </a:ext>
                </a:extLst>
              </xdr:cNvPr>
              <xdr:cNvCxnSpPr/>
            </xdr:nvCxnSpPr>
            <xdr:spPr>
              <a:xfrm rot="16200000" flipH="1">
                <a:off x="3801208" y="6603022"/>
                <a:ext cx="140677" cy="140677"/>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nvGrpSpPr>
            <xdr:cNvPr id="171" name="Group 145">
              <a:extLst>
                <a:ext uri="{FF2B5EF4-FFF2-40B4-BE49-F238E27FC236}">
                  <a16:creationId xmlns:a16="http://schemas.microsoft.com/office/drawing/2014/main" id="{00000000-0008-0000-0700-0000AB000000}"/>
                </a:ext>
              </a:extLst>
            </xdr:cNvPr>
            <xdr:cNvGrpSpPr/>
          </xdr:nvGrpSpPr>
          <xdr:grpSpPr>
            <a:xfrm flipV="1">
              <a:off x="3571321" y="6224525"/>
              <a:ext cx="111369" cy="167054"/>
              <a:chOff x="3569677" y="6729047"/>
              <a:chExt cx="111369" cy="167054"/>
            </a:xfrm>
          </xdr:grpSpPr>
          <xdr:cxnSp macro="">
            <xdr:nvCxnSpPr>
              <xdr:cNvPr id="172" name="Straight Connector 171">
                <a:extLst>
                  <a:ext uri="{FF2B5EF4-FFF2-40B4-BE49-F238E27FC236}">
                    <a16:creationId xmlns:a16="http://schemas.microsoft.com/office/drawing/2014/main" id="{00000000-0008-0000-0700-0000AC000000}"/>
                  </a:ext>
                </a:extLst>
              </xdr:cNvPr>
              <xdr:cNvCxnSpPr/>
            </xdr:nvCxnSpPr>
            <xdr:spPr>
              <a:xfrm>
                <a:off x="3578469" y="6734908"/>
                <a:ext cx="102577" cy="1588"/>
              </a:xfrm>
              <a:prstGeom prst="line">
                <a:avLst/>
              </a:prstGeom>
              <a:ln>
                <a:solidFill>
                  <a:schemeClr val="bg1">
                    <a:lumMod val="65000"/>
                  </a:schemeClr>
                </a:solidFill>
              </a:ln>
            </xdr:spPr>
            <xdr:style>
              <a:lnRef idx="1">
                <a:schemeClr val="accent2"/>
              </a:lnRef>
              <a:fillRef idx="0">
                <a:schemeClr val="accent2"/>
              </a:fillRef>
              <a:effectRef idx="0">
                <a:schemeClr val="accent2"/>
              </a:effectRef>
              <a:fontRef idx="minor">
                <a:schemeClr val="tx1"/>
              </a:fontRef>
            </xdr:style>
          </xdr:cxnSp>
          <xdr:cxnSp macro="">
            <xdr:nvCxnSpPr>
              <xdr:cNvPr id="173" name="Straight Arrow Connector 172">
                <a:extLst>
                  <a:ext uri="{FF2B5EF4-FFF2-40B4-BE49-F238E27FC236}">
                    <a16:creationId xmlns:a16="http://schemas.microsoft.com/office/drawing/2014/main" id="{00000000-0008-0000-0700-0000AD000000}"/>
                  </a:ext>
                </a:extLst>
              </xdr:cNvPr>
              <xdr:cNvCxnSpPr/>
            </xdr:nvCxnSpPr>
            <xdr:spPr>
              <a:xfrm rot="5400000">
                <a:off x="3541835" y="6756889"/>
                <a:ext cx="167054" cy="111369"/>
              </a:xfrm>
              <a:prstGeom prst="straightConnector1">
                <a:avLst/>
              </a:prstGeom>
              <a:ln>
                <a:solidFill>
                  <a:schemeClr val="bg1">
                    <a:lumMod val="65000"/>
                  </a:schemeClr>
                </a:solidFill>
                <a:tailEnd type="arrow"/>
              </a:ln>
            </xdr:spPr>
            <xdr:style>
              <a:lnRef idx="1">
                <a:schemeClr val="accent2"/>
              </a:lnRef>
              <a:fillRef idx="0">
                <a:schemeClr val="accent2"/>
              </a:fillRef>
              <a:effectRef idx="0">
                <a:schemeClr val="accent2"/>
              </a:effectRef>
              <a:fontRef idx="minor">
                <a:schemeClr val="tx1"/>
              </a:fontRef>
            </xdr:style>
          </xdr:cxnSp>
        </xdr:grp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hristina%20B/Roundabout%20Analysis%20Tool%20Calibration/AnalysisTool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HERE"/>
      <sheetName val="Instructions"/>
      <sheetName val="Single Lane"/>
      <sheetName val="Multi-Lane"/>
      <sheetName val="Volume Balance Tool"/>
      <sheetName val="8"/>
    </sheetNames>
    <sheetDataSet>
      <sheetData sheetId="0">
        <row r="22">
          <cell r="AC22">
            <v>0</v>
          </cell>
        </row>
        <row r="27">
          <cell r="V27">
            <v>0</v>
          </cell>
        </row>
        <row r="33">
          <cell r="AE33">
            <v>0</v>
          </cell>
        </row>
        <row r="39">
          <cell r="X39">
            <v>0</v>
          </cell>
        </row>
        <row r="43">
          <cell r="V43">
            <v>0</v>
          </cell>
          <cell r="X43">
            <v>0</v>
          </cell>
        </row>
        <row r="49">
          <cell r="V49">
            <v>0</v>
          </cell>
        </row>
        <row r="52">
          <cell r="X52">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AJ127"/>
  <sheetViews>
    <sheetView tabSelected="1" zoomScaleNormal="100" workbookViewId="0">
      <selection activeCell="C15" sqref="C15:F16"/>
    </sheetView>
  </sheetViews>
  <sheetFormatPr defaultRowHeight="15" x14ac:dyDescent="0.25"/>
  <cols>
    <col min="1" max="1" width="2.42578125" customWidth="1"/>
    <col min="2" max="2" width="19.5703125" customWidth="1"/>
    <col min="3" max="3" width="13.140625" customWidth="1"/>
    <col min="4" max="4" width="11.5703125" customWidth="1"/>
    <col min="5" max="5" width="14.42578125" customWidth="1"/>
    <col min="6" max="6" width="11.5703125" customWidth="1"/>
    <col min="7" max="7" width="11.7109375" customWidth="1"/>
    <col min="8" max="8" width="15.140625" customWidth="1"/>
    <col min="9" max="9" width="1.5703125" customWidth="1"/>
    <col min="24" max="24" width="9.140625" customWidth="1"/>
    <col min="25" max="28" width="3.7109375" customWidth="1"/>
  </cols>
  <sheetData>
    <row r="1" spans="2:32" s="121" customFormat="1" x14ac:dyDescent="0.25">
      <c r="I1" s="314"/>
      <c r="S1" s="314"/>
    </row>
    <row r="2" spans="2:32" s="121" customFormat="1" ht="23.25" x14ac:dyDescent="0.35">
      <c r="D2" s="778" t="s">
        <v>134</v>
      </c>
      <c r="H2" s="779" t="s">
        <v>353</v>
      </c>
      <c r="I2" s="314"/>
      <c r="S2" s="314"/>
    </row>
    <row r="3" spans="2:32" s="121" customFormat="1" x14ac:dyDescent="0.25">
      <c r="H3" s="780">
        <v>43823</v>
      </c>
      <c r="I3" s="314"/>
      <c r="S3" s="314"/>
    </row>
    <row r="4" spans="2:32" s="150" customFormat="1" x14ac:dyDescent="0.25">
      <c r="H4" s="152"/>
      <c r="I4" s="264"/>
      <c r="J4" s="258"/>
      <c r="K4" s="258"/>
      <c r="L4" s="258"/>
      <c r="M4" s="258"/>
      <c r="N4" s="258"/>
      <c r="O4" s="258"/>
      <c r="P4" s="258"/>
      <c r="Q4" s="258"/>
      <c r="R4" s="258"/>
      <c r="S4" s="260"/>
      <c r="T4" s="258"/>
      <c r="U4" s="258"/>
      <c r="V4" s="258"/>
      <c r="W4" s="258"/>
      <c r="X4" s="258"/>
      <c r="Y4" s="258"/>
      <c r="Z4" s="258"/>
      <c r="AA4" s="258"/>
      <c r="AB4" s="258"/>
      <c r="AC4" s="258"/>
      <c r="AD4" s="258"/>
      <c r="AE4" s="258"/>
      <c r="AF4" s="258"/>
    </row>
    <row r="5" spans="2:32" s="150" customFormat="1" x14ac:dyDescent="0.25">
      <c r="B5" s="163"/>
      <c r="H5" s="152"/>
      <c r="I5" s="264"/>
      <c r="J5" s="258"/>
      <c r="K5" s="258"/>
      <c r="L5" s="258"/>
      <c r="M5" s="258"/>
      <c r="N5" s="258"/>
      <c r="O5" s="258"/>
      <c r="P5" s="258"/>
      <c r="Q5" s="258"/>
      <c r="R5" s="258"/>
      <c r="S5" s="260"/>
      <c r="T5" s="258"/>
      <c r="U5" s="258"/>
      <c r="V5" s="258"/>
      <c r="W5" s="258"/>
      <c r="X5" s="258"/>
      <c r="Y5" s="258"/>
      <c r="Z5" s="258"/>
      <c r="AA5" s="258"/>
      <c r="AB5" s="258"/>
      <c r="AC5" s="258"/>
      <c r="AD5" s="258"/>
      <c r="AE5" s="258"/>
      <c r="AF5" s="258"/>
    </row>
    <row r="6" spans="2:32" s="150" customFormat="1" x14ac:dyDescent="0.25">
      <c r="B6" s="163"/>
      <c r="H6" s="152"/>
      <c r="I6" s="264"/>
      <c r="J6" s="258"/>
      <c r="K6" s="258"/>
      <c r="L6" s="258"/>
      <c r="M6" s="258"/>
      <c r="N6" s="258"/>
      <c r="O6" s="258"/>
      <c r="P6" s="258"/>
      <c r="Q6" s="258"/>
      <c r="R6" s="258"/>
      <c r="S6" s="260"/>
      <c r="T6" s="258"/>
      <c r="U6" s="258"/>
      <c r="V6" s="258"/>
      <c r="W6" s="258"/>
      <c r="X6" s="258"/>
      <c r="Y6" s="258"/>
      <c r="Z6" s="258"/>
      <c r="AA6" s="258"/>
      <c r="AB6" s="258"/>
      <c r="AC6" s="258"/>
      <c r="AD6" s="258"/>
      <c r="AE6" s="258"/>
      <c r="AF6" s="258"/>
    </row>
    <row r="7" spans="2:32" s="150" customFormat="1" x14ac:dyDescent="0.25">
      <c r="B7" s="163"/>
      <c r="H7" s="152"/>
      <c r="I7" s="264"/>
      <c r="J7" s="258"/>
      <c r="K7" s="258"/>
      <c r="L7" s="258"/>
      <c r="M7" s="258"/>
      <c r="N7" s="258"/>
      <c r="O7" s="258"/>
      <c r="P7" s="258"/>
      <c r="Q7" s="258"/>
      <c r="R7" s="258"/>
      <c r="S7" s="260"/>
      <c r="T7" s="258"/>
      <c r="U7" s="258"/>
      <c r="V7" s="258"/>
      <c r="W7" s="258"/>
      <c r="X7" s="258"/>
      <c r="Y7" s="258"/>
      <c r="Z7" s="258"/>
      <c r="AA7" s="258"/>
      <c r="AB7" s="258"/>
      <c r="AC7" s="258"/>
      <c r="AD7" s="258"/>
      <c r="AE7" s="258"/>
      <c r="AF7" s="258"/>
    </row>
    <row r="8" spans="2:32" s="150" customFormat="1" x14ac:dyDescent="0.25">
      <c r="H8" s="152"/>
      <c r="I8" s="264"/>
      <c r="J8" s="258"/>
      <c r="K8" s="258"/>
      <c r="L8" s="258"/>
      <c r="M8" s="258"/>
      <c r="N8" s="258"/>
      <c r="O8" s="258"/>
      <c r="P8" s="258"/>
      <c r="Q8" s="258"/>
      <c r="R8" s="258"/>
      <c r="S8" s="260"/>
      <c r="T8" s="258"/>
      <c r="U8" s="258"/>
      <c r="V8" s="258"/>
      <c r="W8" s="258"/>
      <c r="X8" s="258"/>
      <c r="Y8" s="258"/>
      <c r="Z8" s="258"/>
      <c r="AA8" s="258"/>
      <c r="AB8" s="258"/>
      <c r="AC8" s="258"/>
      <c r="AD8" s="258"/>
      <c r="AE8" s="258"/>
      <c r="AF8" s="258"/>
    </row>
    <row r="9" spans="2:32" s="150" customFormat="1" x14ac:dyDescent="0.25">
      <c r="B9" s="153" t="s">
        <v>13</v>
      </c>
      <c r="C9" s="906"/>
      <c r="D9" s="906"/>
      <c r="E9" s="906"/>
      <c r="F9" s="906"/>
      <c r="H9" s="152"/>
      <c r="I9" s="264"/>
      <c r="J9" s="258"/>
      <c r="K9" s="258"/>
      <c r="L9" s="258"/>
      <c r="M9" s="258"/>
      <c r="N9" s="258"/>
      <c r="O9" s="258"/>
      <c r="P9" s="258"/>
      <c r="Q9" s="258"/>
      <c r="R9" s="258"/>
      <c r="S9" s="260"/>
      <c r="T9" s="258"/>
      <c r="U9" s="258"/>
      <c r="V9" s="258"/>
      <c r="W9" s="258"/>
      <c r="X9" s="258"/>
      <c r="Y9" s="258"/>
      <c r="Z9" s="258"/>
      <c r="AA9" s="258"/>
      <c r="AB9" s="258"/>
      <c r="AC9" s="258"/>
      <c r="AD9" s="258"/>
      <c r="AE9" s="258"/>
      <c r="AF9" s="258"/>
    </row>
    <row r="10" spans="2:32" s="150" customFormat="1" x14ac:dyDescent="0.25">
      <c r="B10" s="153" t="s">
        <v>14</v>
      </c>
      <c r="C10" s="905"/>
      <c r="D10" s="905"/>
      <c r="E10" s="905"/>
      <c r="F10" s="905"/>
      <c r="H10" s="152"/>
      <c r="I10" s="264"/>
      <c r="J10" s="258"/>
      <c r="K10" s="258"/>
      <c r="L10" s="258"/>
      <c r="M10" s="258"/>
      <c r="N10" s="258"/>
      <c r="O10" s="258"/>
      <c r="P10" s="258"/>
      <c r="Q10" s="258"/>
      <c r="R10" s="258"/>
      <c r="S10" s="260"/>
      <c r="T10" s="258"/>
      <c r="U10" s="258"/>
      <c r="V10" s="258"/>
      <c r="W10" s="258"/>
      <c r="X10" s="258"/>
      <c r="Y10" s="258"/>
      <c r="Z10" s="258"/>
      <c r="AA10" s="258"/>
      <c r="AB10" s="258"/>
      <c r="AC10" s="258"/>
      <c r="AD10" s="258"/>
      <c r="AE10" s="258"/>
      <c r="AF10" s="258"/>
    </row>
    <row r="11" spans="2:32" s="150" customFormat="1" x14ac:dyDescent="0.25">
      <c r="B11" s="153" t="s">
        <v>15</v>
      </c>
      <c r="C11" s="907"/>
      <c r="D11" s="907"/>
      <c r="E11" s="907"/>
      <c r="F11" s="907"/>
      <c r="H11" s="152"/>
      <c r="I11" s="264"/>
      <c r="J11" s="258"/>
      <c r="K11" s="258"/>
      <c r="L11" s="258"/>
      <c r="M11" s="258"/>
      <c r="N11" s="258"/>
      <c r="O11" s="258"/>
      <c r="P11" s="258"/>
      <c r="Q11" s="258"/>
      <c r="R11" s="258"/>
      <c r="S11" s="260"/>
      <c r="T11" s="258"/>
      <c r="U11" s="258"/>
      <c r="V11" s="258"/>
      <c r="W11" s="258"/>
      <c r="X11" s="258"/>
      <c r="Y11" s="258"/>
      <c r="Z11" s="258"/>
      <c r="AA11" s="258"/>
      <c r="AB11" s="258"/>
      <c r="AC11" s="258"/>
      <c r="AD11" s="258"/>
      <c r="AE11" s="258"/>
      <c r="AF11" s="258"/>
    </row>
    <row r="12" spans="2:32" s="150" customFormat="1" x14ac:dyDescent="0.25">
      <c r="B12" s="153" t="s">
        <v>140</v>
      </c>
      <c r="C12" s="908"/>
      <c r="D12" s="908"/>
      <c r="E12" s="908"/>
      <c r="F12" s="908"/>
      <c r="H12" s="152"/>
      <c r="I12" s="264"/>
      <c r="J12" s="258"/>
      <c r="K12" s="258"/>
      <c r="L12" s="258"/>
      <c r="M12" s="258"/>
      <c r="N12" s="258"/>
      <c r="O12" s="258"/>
      <c r="P12" s="258"/>
      <c r="Q12" s="258"/>
      <c r="R12" s="258"/>
      <c r="S12" s="260"/>
      <c r="T12" s="258"/>
      <c r="U12" s="258"/>
      <c r="V12" s="258"/>
      <c r="W12" s="258"/>
      <c r="X12" s="258"/>
      <c r="Y12" s="258"/>
      <c r="Z12" s="258"/>
      <c r="AA12" s="258"/>
      <c r="AB12" s="258"/>
      <c r="AC12" s="258"/>
      <c r="AD12" s="258"/>
      <c r="AE12" s="258"/>
      <c r="AF12" s="258"/>
    </row>
    <row r="13" spans="2:32" s="150" customFormat="1" x14ac:dyDescent="0.25">
      <c r="B13" s="153" t="s">
        <v>243</v>
      </c>
      <c r="C13" s="905"/>
      <c r="D13" s="905"/>
      <c r="E13" s="905"/>
      <c r="F13" s="905"/>
      <c r="H13" s="152"/>
      <c r="I13" s="264"/>
      <c r="J13" s="258"/>
      <c r="K13" s="258"/>
      <c r="L13" s="258"/>
      <c r="M13" s="258"/>
      <c r="N13" s="258"/>
      <c r="O13" s="258"/>
      <c r="P13" s="258"/>
      <c r="Q13" s="258"/>
      <c r="R13" s="258"/>
      <c r="S13" s="260"/>
      <c r="T13" s="258"/>
      <c r="U13" s="258"/>
      <c r="V13" s="258"/>
      <c r="W13" s="258"/>
      <c r="X13" s="258"/>
      <c r="Y13" s="258"/>
      <c r="Z13" s="258"/>
      <c r="AA13" s="258"/>
      <c r="AB13" s="258"/>
      <c r="AC13" s="258"/>
      <c r="AD13" s="258"/>
      <c r="AE13" s="258"/>
      <c r="AF13" s="258"/>
    </row>
    <row r="14" spans="2:32" s="150" customFormat="1" x14ac:dyDescent="0.25">
      <c r="B14" s="153" t="s">
        <v>144</v>
      </c>
      <c r="C14" s="905"/>
      <c r="D14" s="905"/>
      <c r="E14" s="905"/>
      <c r="F14" s="905"/>
      <c r="H14" s="152"/>
      <c r="I14" s="264"/>
      <c r="J14" s="258"/>
      <c r="K14" s="258"/>
      <c r="L14" s="258"/>
      <c r="M14" s="258"/>
      <c r="N14" s="258"/>
      <c r="O14" s="258"/>
      <c r="P14" s="258"/>
      <c r="Q14" s="258"/>
      <c r="R14" s="258"/>
      <c r="S14" s="260"/>
      <c r="T14" s="258"/>
      <c r="U14" s="258"/>
      <c r="V14" s="258"/>
      <c r="W14" s="258"/>
      <c r="X14" s="258"/>
      <c r="Y14" s="258"/>
      <c r="Z14" s="258"/>
      <c r="AA14" s="258"/>
      <c r="AB14" s="258"/>
      <c r="AC14" s="258"/>
      <c r="AD14" s="258"/>
      <c r="AE14" s="258"/>
      <c r="AF14" s="258"/>
    </row>
    <row r="15" spans="2:32" s="150" customFormat="1" x14ac:dyDescent="0.25">
      <c r="B15" s="259" t="s">
        <v>17</v>
      </c>
      <c r="C15" s="890"/>
      <c r="D15" s="890"/>
      <c r="E15" s="890"/>
      <c r="F15" s="890"/>
      <c r="H15" s="152"/>
      <c r="I15" s="264"/>
      <c r="J15" s="258"/>
      <c r="K15" s="258"/>
      <c r="L15" s="258"/>
      <c r="M15" s="258"/>
      <c r="N15" s="258"/>
      <c r="O15" s="258"/>
      <c r="P15" s="258"/>
      <c r="Q15" s="258"/>
      <c r="R15" s="258"/>
      <c r="S15" s="260"/>
      <c r="T15" s="258"/>
      <c r="U15" s="258"/>
      <c r="V15" s="258"/>
      <c r="W15" s="258"/>
      <c r="X15" s="258"/>
      <c r="Y15" s="258"/>
      <c r="Z15" s="258"/>
      <c r="AA15" s="258"/>
      <c r="AB15" s="258"/>
      <c r="AC15" s="258"/>
      <c r="AD15" s="258"/>
      <c r="AE15" s="258"/>
      <c r="AF15" s="258"/>
    </row>
    <row r="16" spans="2:32" s="150" customFormat="1" x14ac:dyDescent="0.25">
      <c r="C16" s="891"/>
      <c r="D16" s="891"/>
      <c r="E16" s="891"/>
      <c r="F16" s="891"/>
      <c r="H16" s="152"/>
      <c r="I16" s="264"/>
      <c r="J16" s="258"/>
      <c r="K16" s="258"/>
      <c r="L16" s="258"/>
      <c r="M16" s="258"/>
      <c r="N16" s="258"/>
      <c r="O16" s="258"/>
      <c r="P16" s="258"/>
      <c r="Q16" s="258"/>
      <c r="R16" s="258"/>
      <c r="S16" s="260"/>
      <c r="T16" s="258"/>
      <c r="U16" s="258"/>
      <c r="V16" s="258"/>
      <c r="W16" s="258"/>
      <c r="X16" s="258"/>
      <c r="Y16" s="258"/>
      <c r="Z16" s="258"/>
      <c r="AA16" s="258"/>
      <c r="AB16" s="258"/>
      <c r="AC16" s="258"/>
      <c r="AD16" s="258"/>
      <c r="AE16" s="258"/>
      <c r="AF16" s="258"/>
    </row>
    <row r="17" spans="2:36" s="150" customFormat="1" ht="15" customHeight="1" x14ac:dyDescent="0.25">
      <c r="B17" s="151"/>
      <c r="H17" s="152"/>
      <c r="I17" s="264"/>
      <c r="J17" s="258"/>
      <c r="K17" s="258"/>
      <c r="L17" s="258"/>
      <c r="M17" s="258"/>
      <c r="N17" s="258"/>
      <c r="O17" s="258"/>
      <c r="P17" s="258"/>
      <c r="Q17" s="258"/>
      <c r="R17" s="258"/>
      <c r="S17" s="260"/>
      <c r="T17" s="258"/>
      <c r="U17" s="258"/>
      <c r="V17" s="258"/>
      <c r="W17" s="258"/>
      <c r="X17" s="258"/>
      <c r="Y17" s="258"/>
      <c r="Z17" s="258"/>
      <c r="AA17" s="258"/>
      <c r="AB17" s="258"/>
      <c r="AC17" s="131"/>
      <c r="AD17" s="131"/>
      <c r="AE17" s="131"/>
      <c r="AF17" s="131"/>
      <c r="AG17" s="173"/>
      <c r="AH17" s="173"/>
      <c r="AI17" s="173"/>
      <c r="AJ17" s="173"/>
    </row>
    <row r="18" spans="2:36" s="123" customFormat="1" ht="15" customHeight="1" x14ac:dyDescent="0.25">
      <c r="B18" s="154" t="s">
        <v>162</v>
      </c>
      <c r="I18" s="260"/>
      <c r="S18" s="260"/>
      <c r="U18" s="311" t="s">
        <v>227</v>
      </c>
    </row>
    <row r="19" spans="2:36" s="123" customFormat="1" ht="15" customHeight="1" x14ac:dyDescent="0.25">
      <c r="I19" s="260"/>
      <c r="S19" s="260"/>
    </row>
    <row r="20" spans="2:36" s="123" customFormat="1" x14ac:dyDescent="0.25">
      <c r="F20" s="145"/>
      <c r="G20" s="145"/>
      <c r="I20" s="260"/>
      <c r="S20" s="260"/>
      <c r="X20" s="903" t="str">
        <f>IF(L37="yes", "w/BYPASS"," ")</f>
        <v xml:space="preserve"> </v>
      </c>
      <c r="Y20" s="889">
        <f>M36</f>
        <v>0</v>
      </c>
      <c r="Z20" s="888">
        <f>L36</f>
        <v>0</v>
      </c>
      <c r="AA20" s="274"/>
      <c r="AB20" s="285"/>
    </row>
    <row r="21" spans="2:36" s="123" customFormat="1" ht="15" customHeight="1" x14ac:dyDescent="0.25">
      <c r="I21" s="260"/>
      <c r="S21" s="260"/>
      <c r="X21" s="903"/>
      <c r="Y21" s="889"/>
      <c r="Z21" s="888"/>
      <c r="AA21" s="286"/>
      <c r="AB21" s="270"/>
      <c r="AC21" s="145" t="s">
        <v>219</v>
      </c>
    </row>
    <row r="22" spans="2:36" s="123" customFormat="1" ht="15" customHeight="1" x14ac:dyDescent="0.25">
      <c r="I22" s="260"/>
      <c r="S22" s="260"/>
      <c r="X22" s="903"/>
      <c r="Y22" s="889"/>
      <c r="Z22" s="888"/>
      <c r="AA22" s="284"/>
      <c r="AB22" s="270"/>
      <c r="AC22" s="123">
        <f>L35</f>
        <v>0</v>
      </c>
    </row>
    <row r="23" spans="2:36" s="123" customFormat="1" x14ac:dyDescent="0.25">
      <c r="F23" s="145"/>
      <c r="G23" s="145"/>
      <c r="I23" s="260"/>
      <c r="K23" s="201" t="s">
        <v>242</v>
      </c>
      <c r="L23" s="258"/>
      <c r="M23" s="258"/>
      <c r="N23" s="258"/>
      <c r="O23" s="258"/>
      <c r="P23" s="258"/>
      <c r="Q23" s="258"/>
      <c r="R23" s="258"/>
      <c r="S23" s="260"/>
      <c r="X23" s="903"/>
      <c r="Y23" s="889"/>
      <c r="Z23" s="888"/>
      <c r="AA23" s="284"/>
      <c r="AB23" s="270"/>
    </row>
    <row r="24" spans="2:36" s="123" customFormat="1" ht="23.25" customHeight="1" x14ac:dyDescent="0.25">
      <c r="B24" s="190" t="s">
        <v>159</v>
      </c>
      <c r="C24" s="909" t="s">
        <v>161</v>
      </c>
      <c r="D24" s="909"/>
      <c r="E24" s="190" t="s">
        <v>352</v>
      </c>
      <c r="F24" s="909" t="s">
        <v>158</v>
      </c>
      <c r="G24" s="909"/>
      <c r="H24" s="845" t="s">
        <v>352</v>
      </c>
      <c r="I24" s="260"/>
      <c r="K24" s="258"/>
      <c r="L24" s="258"/>
      <c r="M24" s="258"/>
      <c r="N24" s="258"/>
      <c r="O24" s="258"/>
      <c r="P24" s="258"/>
      <c r="Q24" s="258"/>
      <c r="R24" s="258"/>
      <c r="S24" s="260"/>
      <c r="X24" s="258"/>
      <c r="Y24" s="284"/>
      <c r="Z24" s="270"/>
      <c r="AA24" s="284"/>
      <c r="AB24" s="270"/>
    </row>
    <row r="25" spans="2:36" s="123" customFormat="1" x14ac:dyDescent="0.25">
      <c r="B25" s="123" t="s">
        <v>347</v>
      </c>
      <c r="C25" s="898" t="s">
        <v>348</v>
      </c>
      <c r="D25" s="898"/>
      <c r="E25" s="848"/>
      <c r="F25" s="898" t="s">
        <v>264</v>
      </c>
      <c r="G25" s="898"/>
      <c r="H25" s="846"/>
      <c r="I25" s="260" t="s">
        <v>255</v>
      </c>
      <c r="J25" s="185"/>
      <c r="K25" s="125" t="s">
        <v>240</v>
      </c>
      <c r="L25" s="897"/>
      <c r="M25" s="897"/>
      <c r="N25" s="258"/>
      <c r="O25" s="258"/>
      <c r="P25" s="258"/>
      <c r="Q25" s="258" t="s">
        <v>251</v>
      </c>
      <c r="R25" s="258"/>
      <c r="S25" s="260"/>
      <c r="X25" s="258"/>
      <c r="Y25" s="284"/>
      <c r="Z25" s="270"/>
      <c r="AA25" s="284"/>
      <c r="AB25" s="270"/>
    </row>
    <row r="26" spans="2:36" s="123" customFormat="1" x14ac:dyDescent="0.25">
      <c r="B26" s="189" t="s">
        <v>93</v>
      </c>
      <c r="C26" s="898" t="s">
        <v>265</v>
      </c>
      <c r="D26" s="898"/>
      <c r="E26" s="848"/>
      <c r="F26" s="898" t="s">
        <v>264</v>
      </c>
      <c r="G26" s="898"/>
      <c r="H26" s="847"/>
      <c r="I26" s="260"/>
      <c r="K26" s="125" t="s">
        <v>236</v>
      </c>
      <c r="L26" s="317"/>
      <c r="M26" s="254"/>
      <c r="N26" s="258"/>
      <c r="O26" s="258"/>
      <c r="P26" s="305" t="s">
        <v>349</v>
      </c>
      <c r="Q26" s="895" t="s">
        <v>245</v>
      </c>
      <c r="R26" s="896"/>
      <c r="S26" s="260"/>
      <c r="V26" s="145" t="s">
        <v>225</v>
      </c>
      <c r="X26" s="258"/>
      <c r="Y26" s="270"/>
      <c r="Z26" s="270"/>
      <c r="AA26" s="270"/>
      <c r="AB26" s="270"/>
    </row>
    <row r="27" spans="2:36" s="123" customFormat="1" ht="15" customHeight="1" x14ac:dyDescent="0.25">
      <c r="B27" s="189" t="s">
        <v>157</v>
      </c>
      <c r="C27" s="898" t="s">
        <v>266</v>
      </c>
      <c r="D27" s="898"/>
      <c r="E27" s="848"/>
      <c r="F27" s="898" t="s">
        <v>264</v>
      </c>
      <c r="G27" s="898"/>
      <c r="H27" s="847"/>
      <c r="I27" s="260"/>
      <c r="K27" s="125" t="s">
        <v>218</v>
      </c>
      <c r="L27" s="318"/>
      <c r="M27" s="275"/>
      <c r="N27" s="275"/>
      <c r="O27" s="227"/>
      <c r="P27" s="305"/>
      <c r="Q27" s="139" t="s">
        <v>233</v>
      </c>
      <c r="R27" s="258"/>
      <c r="S27" s="260"/>
      <c r="V27" s="123">
        <f>P40</f>
        <v>0</v>
      </c>
      <c r="X27" s="258"/>
      <c r="Y27" s="270"/>
      <c r="Z27" s="270"/>
      <c r="AA27" s="270"/>
      <c r="AB27" s="270"/>
      <c r="AD27" s="278" t="str">
        <f>IF(P37="yes","w/BYPASS"," ")</f>
        <v xml:space="preserve"> </v>
      </c>
    </row>
    <row r="28" spans="2:36" s="123" customFormat="1" x14ac:dyDescent="0.25">
      <c r="I28" s="260"/>
      <c r="K28" s="254"/>
      <c r="L28" s="319"/>
      <c r="M28" s="276"/>
      <c r="N28" s="276"/>
      <c r="O28" s="227"/>
      <c r="P28" s="305"/>
      <c r="Q28" s="300" t="s">
        <v>247</v>
      </c>
      <c r="R28" s="258"/>
      <c r="S28" s="260"/>
      <c r="V28" s="283"/>
      <c r="W28" s="283"/>
      <c r="X28" s="283"/>
      <c r="Y28" s="270"/>
      <c r="Z28" s="270"/>
      <c r="AA28" s="270"/>
      <c r="AB28" s="270"/>
      <c r="AC28" s="283"/>
      <c r="AD28" s="287">
        <f>Q36</f>
        <v>0</v>
      </c>
      <c r="AE28" s="283"/>
    </row>
    <row r="29" spans="2:36" s="123" customFormat="1" ht="15" customHeight="1" thickBot="1" x14ac:dyDescent="0.3">
      <c r="I29" s="260"/>
      <c r="K29" s="258"/>
      <c r="L29" s="319"/>
      <c r="M29" s="276"/>
      <c r="N29" s="276"/>
      <c r="O29" s="227"/>
      <c r="P29" s="305" t="s">
        <v>248</v>
      </c>
      <c r="Q29" s="895" t="s">
        <v>245</v>
      </c>
      <c r="R29" s="896"/>
      <c r="S29" s="260"/>
      <c r="T29" s="254"/>
      <c r="V29" s="272"/>
      <c r="W29" s="272"/>
      <c r="X29" s="270"/>
      <c r="Y29" s="270"/>
      <c r="Z29" s="270"/>
      <c r="AA29" s="270"/>
      <c r="AB29" s="270"/>
      <c r="AC29" s="270"/>
      <c r="AD29" s="273">
        <f>P36</f>
        <v>0</v>
      </c>
      <c r="AE29" s="272"/>
    </row>
    <row r="30" spans="2:36" s="123" customFormat="1" ht="15" customHeight="1" thickTop="1" x14ac:dyDescent="0.25">
      <c r="I30" s="260"/>
      <c r="J30" s="258"/>
      <c r="K30" s="258"/>
      <c r="L30" s="319"/>
      <c r="M30" s="276"/>
      <c r="N30" s="276"/>
      <c r="O30" s="227"/>
      <c r="P30" s="258"/>
      <c r="Q30" s="308" t="s">
        <v>249</v>
      </c>
      <c r="R30" s="139" t="s">
        <v>250</v>
      </c>
      <c r="S30" s="260"/>
      <c r="V30" s="281"/>
      <c r="W30" s="282">
        <f>P41</f>
        <v>0</v>
      </c>
      <c r="X30" s="283"/>
      <c r="Y30" s="270"/>
      <c r="Z30" s="270"/>
      <c r="AA30" s="270"/>
      <c r="AB30" s="270"/>
      <c r="AC30" s="283"/>
      <c r="AD30" s="281"/>
      <c r="AE30" s="281"/>
    </row>
    <row r="31" spans="2:36" s="123" customFormat="1" x14ac:dyDescent="0.25">
      <c r="I31" s="260"/>
      <c r="J31" s="258"/>
      <c r="K31" s="258"/>
      <c r="L31" s="319"/>
      <c r="M31" s="276"/>
      <c r="N31" s="276"/>
      <c r="O31" s="227"/>
      <c r="P31" s="258"/>
      <c r="Q31" s="139" t="s">
        <v>247</v>
      </c>
      <c r="R31" s="258"/>
      <c r="S31" s="260"/>
      <c r="V31" s="270"/>
      <c r="W31" s="271">
        <f>Q41</f>
        <v>0</v>
      </c>
      <c r="X31" s="270"/>
      <c r="Y31" s="270"/>
      <c r="Z31" s="270"/>
      <c r="AA31" s="270"/>
      <c r="AB31" s="270"/>
      <c r="AC31" s="270"/>
      <c r="AD31" s="270"/>
      <c r="AE31" s="270"/>
    </row>
    <row r="32" spans="2:36" s="123" customFormat="1" ht="15" customHeight="1" x14ac:dyDescent="0.25">
      <c r="I32" s="260"/>
      <c r="J32" s="258"/>
      <c r="K32" s="258"/>
      <c r="L32" s="258"/>
      <c r="M32" s="258"/>
      <c r="N32" s="258"/>
      <c r="O32" s="258"/>
      <c r="P32" s="258"/>
      <c r="Q32" s="258"/>
      <c r="R32" s="258"/>
      <c r="S32" s="260"/>
      <c r="W32" s="278" t="str">
        <f>IF(P42="yes","w/BYPASS"," ")</f>
        <v xml:space="preserve"> </v>
      </c>
      <c r="X32" s="258"/>
      <c r="Y32" s="270"/>
      <c r="Z32" s="270"/>
      <c r="AA32" s="270"/>
      <c r="AB32" s="270"/>
      <c r="AE32" s="145" t="s">
        <v>220</v>
      </c>
    </row>
    <row r="33" spans="1:31" s="123" customFormat="1" x14ac:dyDescent="0.25">
      <c r="B33" s="201" t="s">
        <v>143</v>
      </c>
      <c r="F33" s="128"/>
      <c r="I33" s="260"/>
      <c r="J33" s="258"/>
      <c r="K33" s="201" t="s">
        <v>241</v>
      </c>
      <c r="L33" s="258"/>
      <c r="M33" s="254"/>
      <c r="N33" s="258"/>
      <c r="O33" s="254"/>
      <c r="P33" s="254"/>
      <c r="Q33" s="254"/>
      <c r="R33" s="254"/>
      <c r="S33" s="260"/>
      <c r="T33" s="254"/>
      <c r="X33" s="258"/>
      <c r="Y33" s="270"/>
      <c r="Z33" s="270"/>
      <c r="AA33" s="270"/>
      <c r="AB33" s="270"/>
      <c r="AE33" s="123">
        <f>P35</f>
        <v>0</v>
      </c>
    </row>
    <row r="34" spans="1:31" s="123" customFormat="1" x14ac:dyDescent="0.25">
      <c r="A34" s="123">
        <v>1</v>
      </c>
      <c r="B34" s="128" t="s">
        <v>141</v>
      </c>
      <c r="I34" s="260"/>
      <c r="J34" s="258"/>
      <c r="K34" s="258"/>
      <c r="L34" s="303" t="s">
        <v>219</v>
      </c>
      <c r="M34" s="304"/>
      <c r="N34" s="304" t="s">
        <v>221</v>
      </c>
      <c r="O34" s="304"/>
      <c r="P34" s="304" t="s">
        <v>220</v>
      </c>
      <c r="Q34" s="304"/>
      <c r="R34" s="304" t="s">
        <v>222</v>
      </c>
      <c r="S34" s="315"/>
      <c r="X34" s="258"/>
      <c r="Y34" s="270"/>
      <c r="Z34" s="270"/>
      <c r="AA34" s="270"/>
      <c r="AB34" s="270"/>
    </row>
    <row r="35" spans="1:31" s="123" customFormat="1" ht="15" customHeight="1" x14ac:dyDescent="0.25">
      <c r="D35" s="199" t="s">
        <v>160</v>
      </c>
      <c r="E35" s="191" t="s">
        <v>137</v>
      </c>
      <c r="F35" s="194"/>
      <c r="I35" s="260"/>
      <c r="J35" s="258"/>
      <c r="K35" s="305" t="s">
        <v>217</v>
      </c>
      <c r="L35" s="892"/>
      <c r="M35" s="893"/>
      <c r="N35" s="892"/>
      <c r="O35" s="893"/>
      <c r="P35" s="892"/>
      <c r="Q35" s="893"/>
      <c r="R35" s="892"/>
      <c r="S35" s="894"/>
      <c r="X35" s="258"/>
      <c r="Y35" s="284"/>
      <c r="Z35" s="270"/>
      <c r="AA35" s="284"/>
      <c r="AB35" s="270"/>
    </row>
    <row r="36" spans="1:31" s="123" customFormat="1" ht="13.5" customHeight="1" x14ac:dyDescent="0.25">
      <c r="C36" s="192" t="s">
        <v>135</v>
      </c>
      <c r="D36" s="213"/>
      <c r="E36" s="193">
        <f>IF(D36&gt;0,D36/(D36+D37),0)</f>
        <v>0</v>
      </c>
      <c r="F36" s="198"/>
      <c r="I36" s="260"/>
      <c r="J36" s="258"/>
      <c r="K36" s="305" t="s">
        <v>228</v>
      </c>
      <c r="L36" s="320"/>
      <c r="M36" s="321"/>
      <c r="N36" s="320"/>
      <c r="O36" s="321"/>
      <c r="P36" s="320"/>
      <c r="Q36" s="321"/>
      <c r="R36" s="320"/>
      <c r="S36" s="322"/>
      <c r="Y36" s="284"/>
      <c r="Z36" s="270"/>
      <c r="AA36" s="902">
        <f>L41</f>
        <v>0</v>
      </c>
      <c r="AB36" s="901">
        <f>M41</f>
        <v>0</v>
      </c>
      <c r="AC36" s="887" t="str">
        <f>IF(L42="yes","w/BYPASS"," ")</f>
        <v xml:space="preserve"> </v>
      </c>
    </row>
    <row r="37" spans="1:31" s="123" customFormat="1" x14ac:dyDescent="0.25">
      <c r="C37" s="192" t="s">
        <v>136</v>
      </c>
      <c r="D37" s="213"/>
      <c r="E37" s="193">
        <f>IF(D37&gt;0,D37/(D36+D37),0)</f>
        <v>0</v>
      </c>
      <c r="F37" s="198"/>
      <c r="I37" s="260"/>
      <c r="J37" s="258"/>
      <c r="K37" s="305" t="s">
        <v>235</v>
      </c>
      <c r="L37" s="323"/>
      <c r="M37" s="277"/>
      <c r="N37" s="323"/>
      <c r="O37" s="277"/>
      <c r="P37" s="323"/>
      <c r="Q37" s="277"/>
      <c r="R37" s="323"/>
      <c r="S37" s="312"/>
      <c r="X37" s="309" t="s">
        <v>224</v>
      </c>
      <c r="Y37" s="284"/>
      <c r="Z37" s="270"/>
      <c r="AA37" s="902"/>
      <c r="AB37" s="901"/>
      <c r="AC37" s="887"/>
    </row>
    <row r="38" spans="1:31" s="123" customFormat="1" ht="15" hidden="1" customHeight="1" x14ac:dyDescent="0.25">
      <c r="B38" s="147" t="s">
        <v>163</v>
      </c>
      <c r="C38" s="195">
        <f>SUM(D36:D37)</f>
        <v>0</v>
      </c>
      <c r="D38" s="139">
        <v>0</v>
      </c>
      <c r="F38" s="197"/>
      <c r="I38" s="260"/>
      <c r="J38" s="258"/>
      <c r="S38" s="260"/>
      <c r="Y38" s="288"/>
      <c r="AA38" s="902"/>
      <c r="AB38" s="901"/>
      <c r="AC38" s="887"/>
    </row>
    <row r="39" spans="1:31" s="123" customFormat="1" x14ac:dyDescent="0.25">
      <c r="C39" s="200" t="s">
        <v>169</v>
      </c>
      <c r="D39" s="195">
        <f>SUM(D36:D37)</f>
        <v>0</v>
      </c>
      <c r="F39" s="128"/>
      <c r="I39" s="260"/>
      <c r="J39" s="258"/>
      <c r="K39" s="258"/>
      <c r="L39" s="307" t="s">
        <v>224</v>
      </c>
      <c r="M39" s="303"/>
      <c r="N39" s="306" t="s">
        <v>223</v>
      </c>
      <c r="O39" s="303"/>
      <c r="P39" s="306" t="s">
        <v>225</v>
      </c>
      <c r="Q39" s="303"/>
      <c r="R39" s="306" t="s">
        <v>226</v>
      </c>
      <c r="S39" s="313"/>
      <c r="X39" s="206">
        <f>L40</f>
        <v>0</v>
      </c>
      <c r="Y39" s="284"/>
      <c r="Z39" s="270"/>
      <c r="AA39" s="902"/>
      <c r="AB39" s="901"/>
      <c r="AC39" s="887"/>
      <c r="AD39" s="258"/>
    </row>
    <row r="40" spans="1:31" s="123" customFormat="1" x14ac:dyDescent="0.25">
      <c r="C40" s="125"/>
      <c r="D40" s="203"/>
      <c r="F40" s="128"/>
      <c r="I40" s="260"/>
      <c r="J40" s="258"/>
      <c r="K40" s="305" t="s">
        <v>217</v>
      </c>
      <c r="L40" s="892"/>
      <c r="M40" s="893"/>
      <c r="N40" s="892"/>
      <c r="O40" s="893"/>
      <c r="P40" s="892"/>
      <c r="Q40" s="893"/>
      <c r="R40" s="892"/>
      <c r="S40" s="894"/>
      <c r="Y40" s="284"/>
      <c r="Z40" s="270"/>
      <c r="AA40" s="902"/>
      <c r="AB40" s="901"/>
      <c r="AC40" s="887"/>
    </row>
    <row r="41" spans="1:31" s="123" customFormat="1" ht="15.75" customHeight="1" x14ac:dyDescent="0.25">
      <c r="B41" s="202" t="s">
        <v>142</v>
      </c>
      <c r="G41" s="194"/>
      <c r="I41" s="260"/>
      <c r="J41" s="258"/>
      <c r="K41" s="305" t="s">
        <v>228</v>
      </c>
      <c r="L41" s="320"/>
      <c r="M41" s="321"/>
      <c r="N41" s="320"/>
      <c r="O41" s="321"/>
      <c r="P41" s="320"/>
      <c r="Q41" s="321"/>
      <c r="R41" s="320"/>
      <c r="S41" s="322"/>
      <c r="T41" s="900" t="s">
        <v>237</v>
      </c>
      <c r="U41" s="900"/>
    </row>
    <row r="42" spans="1:31" s="123" customFormat="1" x14ac:dyDescent="0.25">
      <c r="A42" s="123">
        <v>2</v>
      </c>
      <c r="B42" s="123" t="s">
        <v>164</v>
      </c>
      <c r="E42" s="214">
        <v>0</v>
      </c>
      <c r="F42" s="215">
        <v>0</v>
      </c>
      <c r="H42" s="145"/>
      <c r="I42" s="260"/>
      <c r="J42" s="258"/>
      <c r="K42" s="305" t="s">
        <v>235</v>
      </c>
      <c r="L42" s="323"/>
      <c r="M42" s="277"/>
      <c r="N42" s="323"/>
      <c r="O42" s="277"/>
      <c r="P42" s="323"/>
      <c r="Q42" s="277"/>
      <c r="R42" s="323"/>
      <c r="S42" s="312"/>
      <c r="U42" s="309" t="s">
        <v>226</v>
      </c>
      <c r="V42" s="206"/>
      <c r="X42" s="310" t="s">
        <v>221</v>
      </c>
      <c r="Y42" s="142"/>
      <c r="Z42" s="142"/>
    </row>
    <row r="43" spans="1:31" s="123" customFormat="1" x14ac:dyDescent="0.25">
      <c r="H43" s="146"/>
      <c r="I43" s="260"/>
      <c r="J43" s="258"/>
      <c r="K43" s="258"/>
      <c r="L43" s="258"/>
      <c r="M43" s="258"/>
      <c r="N43" s="258"/>
      <c r="O43" s="258"/>
      <c r="P43" s="258"/>
      <c r="Q43" s="258"/>
      <c r="R43" s="258"/>
      <c r="S43" s="260"/>
      <c r="U43" s="293"/>
      <c r="V43" s="294">
        <f>R40</f>
        <v>0</v>
      </c>
      <c r="X43" s="292">
        <f>N35</f>
        <v>0</v>
      </c>
      <c r="AA43" s="280"/>
    </row>
    <row r="44" spans="1:31" s="123" customFormat="1" x14ac:dyDescent="0.25">
      <c r="A44" s="123">
        <v>3</v>
      </c>
      <c r="B44" s="123" t="s">
        <v>11</v>
      </c>
      <c r="H44" s="184"/>
      <c r="I44" s="260"/>
      <c r="J44" s="258"/>
      <c r="K44" s="258"/>
      <c r="L44" s="258"/>
      <c r="M44" s="258"/>
      <c r="N44" s="258"/>
      <c r="O44" s="258"/>
      <c r="P44" s="258"/>
      <c r="Q44" s="258"/>
      <c r="R44" s="258"/>
      <c r="S44" s="260"/>
      <c r="U44" s="283"/>
      <c r="V44" s="283">
        <f>R41</f>
        <v>0</v>
      </c>
      <c r="X44" s="278" t="str">
        <f>IF(N37="yes","w/BYPASS"," ")</f>
        <v xml:space="preserve"> </v>
      </c>
      <c r="Y44" s="289"/>
      <c r="Z44" s="205"/>
    </row>
    <row r="45" spans="1:31" s="123" customFormat="1" x14ac:dyDescent="0.25">
      <c r="F45" s="216"/>
      <c r="G45" s="186"/>
      <c r="H45" s="185"/>
      <c r="I45" s="260"/>
      <c r="J45" s="258"/>
      <c r="K45" s="258"/>
      <c r="L45" s="258"/>
      <c r="M45" s="258"/>
      <c r="N45" s="258"/>
      <c r="O45" s="258"/>
      <c r="P45" s="258"/>
      <c r="Q45" s="258"/>
      <c r="R45" s="258"/>
      <c r="S45" s="260"/>
      <c r="U45" s="290"/>
      <c r="V45" s="270">
        <f>S41</f>
        <v>0</v>
      </c>
      <c r="X45" s="283">
        <f>O36</f>
        <v>0</v>
      </c>
      <c r="Y45" s="283"/>
      <c r="Z45" s="283"/>
    </row>
    <row r="46" spans="1:31" s="123" customFormat="1" x14ac:dyDescent="0.25">
      <c r="G46" s="148"/>
      <c r="H46" s="186"/>
      <c r="I46" s="260"/>
      <c r="J46" s="258"/>
      <c r="K46" s="258"/>
      <c r="L46" s="258"/>
      <c r="M46" s="258"/>
      <c r="N46" s="258"/>
      <c r="O46" s="258"/>
      <c r="P46" s="258"/>
      <c r="Q46" s="258"/>
      <c r="R46" s="258"/>
      <c r="S46" s="260"/>
      <c r="U46" s="289"/>
      <c r="V46" s="291" t="str">
        <f>IF(R42="yes","w/BYPASS"," ")</f>
        <v xml:space="preserve"> </v>
      </c>
      <c r="X46" s="295">
        <f>N36</f>
        <v>0</v>
      </c>
      <c r="Y46" s="295"/>
      <c r="Z46" s="295"/>
    </row>
    <row r="47" spans="1:31" s="123" customFormat="1" x14ac:dyDescent="0.25">
      <c r="H47" s="149"/>
      <c r="I47" s="260"/>
      <c r="J47" s="258"/>
      <c r="K47" s="258"/>
      <c r="L47" s="258"/>
      <c r="M47" s="258"/>
      <c r="N47" s="258"/>
      <c r="O47" s="258"/>
      <c r="P47" s="258"/>
      <c r="Q47" s="258"/>
      <c r="R47" s="258"/>
      <c r="S47" s="260"/>
      <c r="X47" s="205"/>
      <c r="Y47" s="142"/>
      <c r="Z47" s="142"/>
    </row>
    <row r="48" spans="1:31" s="123" customFormat="1" x14ac:dyDescent="0.25">
      <c r="B48" s="904"/>
      <c r="C48" s="904"/>
      <c r="D48" s="904"/>
      <c r="E48" s="904"/>
      <c r="F48" s="904"/>
      <c r="G48" s="904"/>
      <c r="H48" s="904"/>
      <c r="I48" s="260"/>
      <c r="J48" s="258"/>
      <c r="K48" s="258"/>
      <c r="L48" s="258"/>
      <c r="M48" s="258"/>
      <c r="N48" s="258"/>
      <c r="O48" s="258"/>
      <c r="P48" s="258"/>
      <c r="Q48" s="258"/>
      <c r="R48" s="258"/>
      <c r="S48" s="260"/>
      <c r="U48" s="899" t="s">
        <v>223</v>
      </c>
      <c r="V48" s="899"/>
      <c r="X48" s="278" t="str">
        <f>IF(R37="yes","w/BYPASS"," ")</f>
        <v xml:space="preserve"> </v>
      </c>
      <c r="Y48" s="289"/>
      <c r="Z48" s="205"/>
    </row>
    <row r="49" spans="2:26" s="123" customFormat="1" x14ac:dyDescent="0.25">
      <c r="B49" s="904"/>
      <c r="C49" s="904"/>
      <c r="D49" s="904"/>
      <c r="E49" s="904"/>
      <c r="F49" s="904"/>
      <c r="G49" s="904"/>
      <c r="H49" s="904"/>
      <c r="I49" s="260"/>
      <c r="J49" s="258"/>
      <c r="K49" s="258"/>
      <c r="L49" s="258"/>
      <c r="M49" s="258"/>
      <c r="N49" s="258"/>
      <c r="O49" s="258"/>
      <c r="P49" s="258"/>
      <c r="Q49" s="258"/>
      <c r="R49" s="258"/>
      <c r="S49" s="260"/>
      <c r="U49" s="293"/>
      <c r="V49" s="294">
        <f>N40</f>
        <v>0</v>
      </c>
      <c r="X49" s="283">
        <f>S36</f>
        <v>0</v>
      </c>
      <c r="Y49" s="283"/>
      <c r="Z49" s="283"/>
    </row>
    <row r="50" spans="2:26" s="123" customFormat="1" x14ac:dyDescent="0.25">
      <c r="I50" s="260"/>
      <c r="J50" s="258"/>
      <c r="K50" s="258"/>
      <c r="L50" s="258"/>
      <c r="M50" s="258"/>
      <c r="N50" s="258"/>
      <c r="O50" s="258"/>
      <c r="P50" s="258"/>
      <c r="Q50" s="258"/>
      <c r="R50" s="258"/>
      <c r="S50" s="260"/>
      <c r="U50" s="283"/>
      <c r="V50" s="283">
        <f>N41</f>
        <v>0</v>
      </c>
      <c r="X50" s="295">
        <f>R36</f>
        <v>0</v>
      </c>
      <c r="Y50" s="295"/>
      <c r="Z50" s="295"/>
    </row>
    <row r="51" spans="2:26" s="123" customFormat="1" x14ac:dyDescent="0.25">
      <c r="B51" s="269"/>
      <c r="I51" s="260"/>
      <c r="S51" s="260"/>
      <c r="U51" s="270"/>
      <c r="V51" s="270">
        <f>O41</f>
        <v>0</v>
      </c>
      <c r="X51" s="310" t="s">
        <v>222</v>
      </c>
    </row>
    <row r="52" spans="2:26" s="123" customFormat="1" x14ac:dyDescent="0.25">
      <c r="I52" s="260"/>
      <c r="S52" s="260"/>
      <c r="U52" s="289"/>
      <c r="V52" s="291" t="str">
        <f>IF(N42="yes","w/BYPASS"," ")</f>
        <v xml:space="preserve"> </v>
      </c>
      <c r="X52" s="123">
        <f>R35</f>
        <v>0</v>
      </c>
    </row>
    <row r="53" spans="2:26" s="123" customFormat="1" x14ac:dyDescent="0.25">
      <c r="C53" s="258"/>
      <c r="D53" s="258"/>
      <c r="E53" s="258"/>
      <c r="F53" s="258"/>
      <c r="G53" s="258"/>
      <c r="H53" s="258"/>
      <c r="I53" s="258"/>
      <c r="J53" s="258"/>
    </row>
    <row r="54" spans="2:26" s="123" customFormat="1" x14ac:dyDescent="0.25">
      <c r="C54" s="258"/>
      <c r="D54" s="258"/>
      <c r="E54" s="258"/>
      <c r="F54" s="258"/>
      <c r="G54" s="258"/>
      <c r="H54" s="258"/>
      <c r="I54" s="258"/>
      <c r="J54" s="258"/>
    </row>
    <row r="55" spans="2:26" s="123" customFormat="1" x14ac:dyDescent="0.25">
      <c r="C55" s="258"/>
      <c r="D55" s="258"/>
      <c r="E55" s="258"/>
      <c r="F55" s="258"/>
      <c r="G55" s="258"/>
      <c r="H55" s="258"/>
      <c r="I55" s="258"/>
      <c r="J55" s="258"/>
    </row>
    <row r="56" spans="2:26" s="123" customFormat="1" x14ac:dyDescent="0.25">
      <c r="C56" s="258"/>
      <c r="D56" s="258"/>
      <c r="E56" s="258"/>
      <c r="F56" s="258"/>
      <c r="G56" s="258"/>
      <c r="H56" s="258"/>
      <c r="I56" s="258"/>
      <c r="J56" s="258"/>
    </row>
    <row r="57" spans="2:26" s="123" customFormat="1" x14ac:dyDescent="0.25">
      <c r="C57" s="258"/>
      <c r="D57" s="258"/>
      <c r="E57" s="258"/>
      <c r="F57" s="258"/>
      <c r="G57" s="258"/>
      <c r="H57" s="258"/>
      <c r="I57" s="258"/>
    </row>
    <row r="58" spans="2:26" s="123" customFormat="1" x14ac:dyDescent="0.25">
      <c r="C58" s="258"/>
      <c r="D58" s="258"/>
      <c r="E58" s="258"/>
      <c r="F58" s="258"/>
      <c r="G58" s="258"/>
      <c r="H58" s="258"/>
      <c r="I58" s="258"/>
    </row>
    <row r="59" spans="2:26" s="123" customFormat="1" x14ac:dyDescent="0.25">
      <c r="C59" s="258"/>
      <c r="D59" s="258"/>
      <c r="E59" s="258"/>
      <c r="F59" s="258"/>
      <c r="G59" s="258"/>
      <c r="H59" s="258"/>
      <c r="I59" s="258"/>
    </row>
    <row r="60" spans="2:26" s="123" customFormat="1" x14ac:dyDescent="0.25">
      <c r="C60" s="258"/>
      <c r="D60" s="258"/>
      <c r="E60" s="258"/>
      <c r="F60" s="258"/>
      <c r="G60" s="258"/>
      <c r="H60" s="258"/>
      <c r="I60" s="258"/>
    </row>
    <row r="61" spans="2:26" s="123" customFormat="1" x14ac:dyDescent="0.25">
      <c r="C61" s="206"/>
      <c r="D61" s="258"/>
      <c r="E61" s="258"/>
      <c r="F61" s="258"/>
      <c r="G61" s="258"/>
      <c r="H61" s="258"/>
      <c r="I61" s="258"/>
    </row>
    <row r="62" spans="2:26" s="123" customFormat="1" x14ac:dyDescent="0.25">
      <c r="C62" s="206"/>
      <c r="D62" s="258"/>
      <c r="E62" s="258"/>
      <c r="F62" s="258"/>
      <c r="G62" s="258"/>
      <c r="H62" s="258"/>
      <c r="I62" s="258"/>
    </row>
    <row r="63" spans="2:26" s="123" customFormat="1" x14ac:dyDescent="0.25">
      <c r="C63" s="258"/>
      <c r="D63" s="258"/>
      <c r="E63" s="258"/>
      <c r="F63" s="258"/>
      <c r="G63" s="258"/>
      <c r="H63" s="258"/>
      <c r="I63" s="258"/>
    </row>
    <row r="64" spans="2:26" s="123" customFormat="1" x14ac:dyDescent="0.25">
      <c r="C64" s="258"/>
      <c r="D64" s="258"/>
      <c r="E64" s="258"/>
      <c r="F64" s="258"/>
      <c r="G64" s="258"/>
      <c r="H64" s="258"/>
      <c r="I64" s="258"/>
    </row>
    <row r="65" spans="2:15" s="123" customFormat="1" x14ac:dyDescent="0.25">
      <c r="C65" s="206"/>
      <c r="D65" s="258"/>
      <c r="E65" s="258"/>
      <c r="F65" s="258"/>
      <c r="G65" s="258"/>
      <c r="H65" s="258"/>
      <c r="I65" s="258"/>
    </row>
    <row r="66" spans="2:15" s="123" customFormat="1" x14ac:dyDescent="0.25">
      <c r="C66" s="206"/>
      <c r="D66" s="258"/>
      <c r="E66" s="258"/>
      <c r="F66" s="258"/>
      <c r="G66" s="258"/>
      <c r="H66" s="258"/>
      <c r="I66" s="258"/>
      <c r="J66" s="255"/>
      <c r="K66" s="255"/>
      <c r="L66" s="255"/>
      <c r="M66" s="255"/>
      <c r="N66" s="255"/>
      <c r="O66" s="255"/>
    </row>
    <row r="67" spans="2:15" s="123" customFormat="1" x14ac:dyDescent="0.25"/>
    <row r="68" spans="2:15" s="123" customFormat="1" x14ac:dyDescent="0.25"/>
    <row r="69" spans="2:15" s="123" customFormat="1" x14ac:dyDescent="0.25"/>
    <row r="70" spans="2:15" s="123" customFormat="1" x14ac:dyDescent="0.25"/>
    <row r="71" spans="2:15" s="123" customFormat="1" x14ac:dyDescent="0.25"/>
    <row r="72" spans="2:15" s="123" customFormat="1" x14ac:dyDescent="0.25"/>
    <row r="73" spans="2:15" s="123" customFormat="1" x14ac:dyDescent="0.25"/>
    <row r="74" spans="2:15" s="123" customFormat="1" x14ac:dyDescent="0.25"/>
    <row r="75" spans="2:15" s="123" customFormat="1" x14ac:dyDescent="0.25"/>
    <row r="76" spans="2:15" s="123" customFormat="1" x14ac:dyDescent="0.25">
      <c r="B76" s="255"/>
      <c r="C76" s="255"/>
      <c r="D76" s="255"/>
      <c r="E76" s="255"/>
      <c r="F76" s="255"/>
      <c r="G76" s="255"/>
    </row>
    <row r="77" spans="2:15" s="123" customFormat="1" x14ac:dyDescent="0.25">
      <c r="B77" s="255"/>
      <c r="C77" s="316"/>
      <c r="D77" s="316"/>
      <c r="E77" s="316"/>
      <c r="F77" s="316" t="s">
        <v>233</v>
      </c>
      <c r="G77" s="279"/>
    </row>
    <row r="78" spans="2:15" s="123" customFormat="1" x14ac:dyDescent="0.25">
      <c r="B78" s="255"/>
      <c r="C78" s="316"/>
      <c r="D78" s="316"/>
      <c r="E78" s="316"/>
      <c r="F78" s="316" t="s">
        <v>229</v>
      </c>
      <c r="G78" s="279"/>
    </row>
    <row r="79" spans="2:15" s="123" customFormat="1" x14ac:dyDescent="0.25">
      <c r="B79" s="255"/>
      <c r="C79" s="316"/>
      <c r="D79" s="316" t="s">
        <v>347</v>
      </c>
      <c r="E79" s="316"/>
      <c r="F79" s="316" t="s">
        <v>230</v>
      </c>
      <c r="G79" s="279"/>
    </row>
    <row r="80" spans="2:15" s="123" customFormat="1" x14ac:dyDescent="0.25">
      <c r="B80" s="255"/>
      <c r="C80" s="316" t="s">
        <v>238</v>
      </c>
      <c r="D80" s="316" t="s">
        <v>93</v>
      </c>
      <c r="E80" s="316"/>
      <c r="F80" s="316" t="s">
        <v>231</v>
      </c>
      <c r="G80" s="279"/>
    </row>
    <row r="81" spans="2:7" s="123" customFormat="1" x14ac:dyDescent="0.25">
      <c r="B81" s="255"/>
      <c r="C81" s="316" t="s">
        <v>239</v>
      </c>
      <c r="D81" s="316" t="s">
        <v>157</v>
      </c>
      <c r="E81" s="316"/>
      <c r="F81" s="316" t="s">
        <v>232</v>
      </c>
      <c r="G81" s="279"/>
    </row>
    <row r="82" spans="2:7" s="123" customFormat="1" x14ac:dyDescent="0.25">
      <c r="B82" s="255"/>
      <c r="C82" s="316"/>
      <c r="D82" s="316"/>
      <c r="E82" s="316"/>
      <c r="F82" s="316" t="s">
        <v>234</v>
      </c>
      <c r="G82" s="279"/>
    </row>
    <row r="83" spans="2:7" s="123" customFormat="1" x14ac:dyDescent="0.25">
      <c r="B83" s="255"/>
      <c r="C83" s="255"/>
      <c r="D83" s="255"/>
      <c r="E83" s="255"/>
      <c r="F83" s="255"/>
      <c r="G83" s="255"/>
    </row>
    <row r="84" spans="2:7" s="123" customFormat="1" x14ac:dyDescent="0.25">
      <c r="B84" s="255"/>
      <c r="C84" s="255"/>
      <c r="D84" s="255"/>
      <c r="E84" s="255"/>
      <c r="F84" s="255"/>
      <c r="G84" s="255"/>
    </row>
    <row r="85" spans="2:7" s="123" customFormat="1" x14ac:dyDescent="0.25"/>
    <row r="86" spans="2:7" s="123" customFormat="1" x14ac:dyDescent="0.25"/>
    <row r="87" spans="2:7" s="123" customFormat="1" x14ac:dyDescent="0.25"/>
    <row r="88" spans="2:7" s="123" customFormat="1" x14ac:dyDescent="0.25"/>
    <row r="89" spans="2:7" s="123" customFormat="1" x14ac:dyDescent="0.25"/>
    <row r="90" spans="2:7" s="123" customFormat="1" x14ac:dyDescent="0.25"/>
    <row r="91" spans="2:7" s="123" customFormat="1" x14ac:dyDescent="0.25"/>
    <row r="92" spans="2:7" s="123" customFormat="1" x14ac:dyDescent="0.25"/>
    <row r="93" spans="2:7" s="123" customFormat="1" x14ac:dyDescent="0.25"/>
    <row r="94" spans="2:7" s="123" customFormat="1" x14ac:dyDescent="0.25"/>
    <row r="95" spans="2:7" s="123" customFormat="1" x14ac:dyDescent="0.25"/>
    <row r="96" spans="2:7" s="123" customFormat="1" x14ac:dyDescent="0.25"/>
    <row r="97" s="123" customFormat="1" x14ac:dyDescent="0.25"/>
    <row r="98" s="123" customFormat="1" x14ac:dyDescent="0.25"/>
    <row r="99" s="123" customFormat="1" x14ac:dyDescent="0.25"/>
    <row r="100" s="123" customFormat="1" x14ac:dyDescent="0.25"/>
    <row r="101" s="123" customFormat="1" x14ac:dyDescent="0.25"/>
    <row r="102" s="123" customFormat="1" x14ac:dyDescent="0.25"/>
    <row r="103" s="123" customFormat="1" x14ac:dyDescent="0.25"/>
    <row r="104" s="123" customFormat="1" x14ac:dyDescent="0.25"/>
    <row r="105" s="123" customFormat="1" x14ac:dyDescent="0.25"/>
    <row r="106" s="123" customFormat="1" x14ac:dyDescent="0.25"/>
    <row r="107" s="123" customFormat="1" x14ac:dyDescent="0.25"/>
    <row r="108" s="123" customFormat="1" x14ac:dyDescent="0.25"/>
    <row r="109" s="123" customFormat="1" x14ac:dyDescent="0.25"/>
    <row r="110" s="123" customFormat="1" x14ac:dyDescent="0.25"/>
    <row r="111" s="123" customFormat="1" x14ac:dyDescent="0.25"/>
    <row r="112" s="123" customFormat="1" x14ac:dyDescent="0.25"/>
    <row r="113" s="123" customFormat="1" x14ac:dyDescent="0.25"/>
    <row r="114" s="123" customFormat="1" x14ac:dyDescent="0.25"/>
    <row r="115" s="123" customFormat="1" x14ac:dyDescent="0.25"/>
    <row r="116" s="123" customFormat="1" x14ac:dyDescent="0.25"/>
    <row r="117" s="123" customFormat="1" x14ac:dyDescent="0.25"/>
    <row r="118" s="123" customFormat="1" x14ac:dyDescent="0.25"/>
    <row r="119" s="123" customFormat="1" x14ac:dyDescent="0.25"/>
    <row r="120" s="123" customFormat="1" x14ac:dyDescent="0.25"/>
    <row r="121" s="123" customFormat="1" x14ac:dyDescent="0.25"/>
    <row r="122" s="123" customFormat="1" x14ac:dyDescent="0.25"/>
    <row r="123" s="123" customFormat="1" x14ac:dyDescent="0.25"/>
    <row r="124" s="123" customFormat="1" x14ac:dyDescent="0.25"/>
    <row r="125" s="123" customFormat="1" x14ac:dyDescent="0.25"/>
    <row r="126" s="123" customFormat="1" x14ac:dyDescent="0.25"/>
    <row r="127" s="123" customFormat="1" x14ac:dyDescent="0.25"/>
  </sheetData>
  <sheetProtection algorithmName="SHA-512" hashValue="r2jhf7NB92YZ3gxo/e3aDfU00Snv2jgnvFAdpvRn1PFWeTehZLl0f2g8uKliysliyuSf4Pa9D1mqAvIuZNfQcQ==" saltValue="KhtBUUpUi+hS5FED6xacog==" spinCount="100000" sheet="1" objects="1" scenarios="1"/>
  <mergeCells count="35">
    <mergeCell ref="B48:H49"/>
    <mergeCell ref="C14:F14"/>
    <mergeCell ref="C9:F9"/>
    <mergeCell ref="C10:F10"/>
    <mergeCell ref="C11:F11"/>
    <mergeCell ref="C12:F12"/>
    <mergeCell ref="C13:F13"/>
    <mergeCell ref="F26:G26"/>
    <mergeCell ref="F25:G25"/>
    <mergeCell ref="C27:D27"/>
    <mergeCell ref="C26:D26"/>
    <mergeCell ref="C25:D25"/>
    <mergeCell ref="C24:D24"/>
    <mergeCell ref="F24:G24"/>
    <mergeCell ref="U48:V48"/>
    <mergeCell ref="T41:U41"/>
    <mergeCell ref="AB36:AB40"/>
    <mergeCell ref="AA36:AA40"/>
    <mergeCell ref="X20:X23"/>
    <mergeCell ref="AC36:AC40"/>
    <mergeCell ref="Z20:Z23"/>
    <mergeCell ref="Y20:Y23"/>
    <mergeCell ref="C15:F16"/>
    <mergeCell ref="L35:M35"/>
    <mergeCell ref="N35:O35"/>
    <mergeCell ref="P35:Q35"/>
    <mergeCell ref="R35:S35"/>
    <mergeCell ref="Q26:R26"/>
    <mergeCell ref="L25:M25"/>
    <mergeCell ref="L40:M40"/>
    <mergeCell ref="N40:O40"/>
    <mergeCell ref="P40:Q40"/>
    <mergeCell ref="R40:S40"/>
    <mergeCell ref="Q29:R29"/>
    <mergeCell ref="F27:G27"/>
  </mergeCells>
  <conditionalFormatting sqref="M36 M41 O41 Q41 S41 S36 Q36 O36">
    <cfRule type="expression" dxfId="138" priority="17">
      <formula>$L$25="multi-lane"</formula>
    </cfRule>
  </conditionalFormatting>
  <conditionalFormatting sqref="V31:AE31 V28:AE28 Y20:Y40 AB20:AB40 X49:Z49 X45:Z45 U51:V51 U45:V45">
    <cfRule type="expression" dxfId="137" priority="1">
      <formula>$L$25="mini"</formula>
    </cfRule>
    <cfRule type="expression" dxfId="136" priority="33">
      <formula>$L$25="single lane"</formula>
    </cfRule>
  </conditionalFormatting>
  <dataValidations count="4">
    <dataValidation type="list" allowBlank="1" showInputMessage="1" showErrorMessage="1" sqref="L35:S35 L40 N40 P40 R40">
      <formula1>$L$27:$L$31</formula1>
    </dataValidation>
    <dataValidation type="list" allowBlank="1" showInputMessage="1" showErrorMessage="1" sqref="L36:S36 L41:S41">
      <formula1>$F$77:$F$82</formula1>
    </dataValidation>
    <dataValidation type="list" allowBlank="1" showInputMessage="1" showErrorMessage="1" prompt="Select Mini, Single or Multi Lane" sqref="L25:M25">
      <formula1>$D$79:$D$81</formula1>
    </dataValidation>
    <dataValidation type="list" allowBlank="1" showInputMessage="1" showErrorMessage="1" sqref="L37 R37 P37 N37 L42 N42 P42 R42 H25 H26 H27 E25 E26 E27">
      <formula1>$C$80:$C$81</formula1>
    </dataValidation>
  </dataValidations>
  <pageMargins left="0.7" right="0.7" top="0.75" bottom="0.75" header="0.3" footer="0.3"/>
  <pageSetup scale="87" orientation="portrait" r:id="rId1"/>
  <headerFooter>
    <oddFooter>&amp;L&amp;10Georgia Department of Transportation&amp;R&amp;10Office of Traffic Operations</oddFooter>
  </headerFooter>
  <colBreaks count="2" manualBreakCount="2">
    <brk id="9" max="51" man="1"/>
    <brk id="19" max="51"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I96"/>
  <sheetViews>
    <sheetView topLeftCell="A139" zoomScale="115" zoomScaleNormal="115" zoomScaleSheetLayoutView="145" workbookViewId="0">
      <selection activeCell="R19" sqref="R19"/>
    </sheetView>
  </sheetViews>
  <sheetFormatPr defaultColWidth="9.140625" defaultRowHeight="15" x14ac:dyDescent="0.25"/>
  <cols>
    <col min="1" max="7" width="9.140625" style="2"/>
    <col min="8" max="8" width="8" style="2" customWidth="1"/>
    <col min="9" max="16384" width="9.140625" style="2"/>
  </cols>
  <sheetData>
    <row r="1" spans="1:1" ht="31.5" customHeight="1" x14ac:dyDescent="0.25">
      <c r="A1" s="175" t="s">
        <v>139</v>
      </c>
    </row>
    <row r="8" spans="1:1" x14ac:dyDescent="0.25">
      <c r="A8" s="325" t="s">
        <v>350</v>
      </c>
    </row>
    <row r="9" spans="1:1" ht="21" customHeight="1" x14ac:dyDescent="0.25">
      <c r="A9" s="177" t="s">
        <v>12</v>
      </c>
    </row>
    <row r="18" spans="1:1" x14ac:dyDescent="0.25">
      <c r="A18" s="177" t="s">
        <v>1</v>
      </c>
    </row>
    <row r="20" spans="1:1" x14ac:dyDescent="0.25">
      <c r="A20" s="196"/>
    </row>
    <row r="21" spans="1:1" x14ac:dyDescent="0.25">
      <c r="A21" s="196"/>
    </row>
    <row r="22" spans="1:1" x14ac:dyDescent="0.25">
      <c r="A22" s="196"/>
    </row>
    <row r="23" spans="1:1" x14ac:dyDescent="0.25">
      <c r="A23" s="196"/>
    </row>
    <row r="24" spans="1:1" x14ac:dyDescent="0.25">
      <c r="A24" s="196"/>
    </row>
    <row r="26" spans="1:1" s="576" customFormat="1" x14ac:dyDescent="0.25"/>
    <row r="27" spans="1:1" s="576" customFormat="1" x14ac:dyDescent="0.25"/>
    <row r="29" spans="1:1" x14ac:dyDescent="0.25">
      <c r="A29" s="177" t="s">
        <v>67</v>
      </c>
    </row>
    <row r="42" spans="1:1" x14ac:dyDescent="0.25">
      <c r="A42" s="177" t="s">
        <v>70</v>
      </c>
    </row>
    <row r="47" spans="1:1" x14ac:dyDescent="0.25">
      <c r="A47" s="177" t="s">
        <v>81</v>
      </c>
    </row>
    <row r="50" spans="1:3" s="257" customFormat="1" x14ac:dyDescent="0.25"/>
    <row r="51" spans="1:3" s="257" customFormat="1" x14ac:dyDescent="0.25"/>
    <row r="52" spans="1:3" s="257" customFormat="1" x14ac:dyDescent="0.25"/>
    <row r="53" spans="1:3" s="257" customFormat="1" x14ac:dyDescent="0.25"/>
    <row r="54" spans="1:3" s="257" customFormat="1" x14ac:dyDescent="0.25"/>
    <row r="55" spans="1:3" s="576" customFormat="1" x14ac:dyDescent="0.25">
      <c r="A55" s="324" t="s">
        <v>351</v>
      </c>
    </row>
    <row r="56" spans="1:3" s="257" customFormat="1" x14ac:dyDescent="0.25">
      <c r="B56" s="576"/>
      <c r="C56" s="576"/>
    </row>
    <row r="57" spans="1:3" s="257" customFormat="1" x14ac:dyDescent="0.25">
      <c r="A57" s="178" t="s">
        <v>94</v>
      </c>
      <c r="B57" s="576"/>
      <c r="C57" s="576"/>
    </row>
    <row r="58" spans="1:3" s="257" customFormat="1" x14ac:dyDescent="0.25">
      <c r="B58" s="576"/>
      <c r="C58" s="576"/>
    </row>
    <row r="60" spans="1:3" s="576" customFormat="1" x14ac:dyDescent="0.25"/>
    <row r="61" spans="1:3" x14ac:dyDescent="0.25">
      <c r="A61" s="324"/>
    </row>
    <row r="63" spans="1:3" x14ac:dyDescent="0.25">
      <c r="A63" s="178"/>
    </row>
    <row r="64" spans="1:3" x14ac:dyDescent="0.25">
      <c r="A64" s="324" t="s">
        <v>146</v>
      </c>
    </row>
    <row r="65" spans="1:3" x14ac:dyDescent="0.25">
      <c r="B65" s="576"/>
      <c r="C65" s="576"/>
    </row>
    <row r="66" spans="1:3" x14ac:dyDescent="0.25">
      <c r="A66" s="178" t="s">
        <v>94</v>
      </c>
      <c r="B66" s="576"/>
      <c r="C66" s="576"/>
    </row>
    <row r="67" spans="1:3" x14ac:dyDescent="0.25">
      <c r="B67" s="576"/>
      <c r="C67" s="576"/>
    </row>
    <row r="68" spans="1:3" s="299" customFormat="1" x14ac:dyDescent="0.25"/>
    <row r="71" spans="1:3" x14ac:dyDescent="0.25">
      <c r="A71" s="177"/>
    </row>
    <row r="73" spans="1:3" x14ac:dyDescent="0.25">
      <c r="A73" s="324" t="s">
        <v>256</v>
      </c>
    </row>
    <row r="75" spans="1:3" x14ac:dyDescent="0.25">
      <c r="A75" s="177" t="s">
        <v>1</v>
      </c>
    </row>
    <row r="81" spans="1:9" x14ac:dyDescent="0.25">
      <c r="A81" s="177" t="s">
        <v>121</v>
      </c>
      <c r="B81" s="576"/>
    </row>
    <row r="82" spans="1:9" s="576" customFormat="1" x14ac:dyDescent="0.25"/>
    <row r="83" spans="1:9" s="576" customFormat="1" x14ac:dyDescent="0.25"/>
    <row r="87" spans="1:9" x14ac:dyDescent="0.25">
      <c r="A87" s="324"/>
    </row>
    <row r="88" spans="1:9" x14ac:dyDescent="0.25">
      <c r="A88" s="176"/>
    </row>
    <row r="89" spans="1:9" x14ac:dyDescent="0.25">
      <c r="A89" s="177" t="s">
        <v>81</v>
      </c>
    </row>
    <row r="90" spans="1:9" x14ac:dyDescent="0.25">
      <c r="A90" s="576"/>
    </row>
    <row r="93" spans="1:9" s="576" customFormat="1" x14ac:dyDescent="0.25"/>
    <row r="94" spans="1:9" x14ac:dyDescent="0.25">
      <c r="A94" s="324" t="s">
        <v>125</v>
      </c>
      <c r="B94" s="179"/>
      <c r="C94" s="179"/>
      <c r="D94" s="179"/>
      <c r="E94" s="179"/>
      <c r="F94" s="179"/>
      <c r="G94" s="179"/>
      <c r="H94" s="179"/>
      <c r="I94" s="179"/>
    </row>
    <row r="95" spans="1:9" x14ac:dyDescent="0.25">
      <c r="A95" s="178" t="s">
        <v>145</v>
      </c>
      <c r="B95" s="179"/>
      <c r="C95" s="179"/>
      <c r="D95" s="179"/>
      <c r="E95" s="179"/>
      <c r="F95" s="179"/>
      <c r="G95" s="179"/>
      <c r="H95" s="179"/>
      <c r="I95" s="179"/>
    </row>
    <row r="96" spans="1:9" x14ac:dyDescent="0.25">
      <c r="B96" s="179"/>
      <c r="C96" s="179"/>
      <c r="D96" s="179"/>
      <c r="E96" s="179"/>
      <c r="F96" s="179"/>
      <c r="G96" s="179"/>
      <c r="H96" s="179"/>
      <c r="I96" s="179"/>
    </row>
  </sheetData>
  <sheetProtection algorithmName="SHA-512" hashValue="Rymqo8K9utlnPBpUt+7ag1RAD3O1yHVAKw0M0EE1Ww2bSXR+AstE9t1mD/hAelHYISK8s52UeDrgg6eO++pRYA==" saltValue="TUabJKizlhwKWOhBqMh+8A==" spinCount="100000" sheet="1" objects="1" scenarios="1"/>
  <pageMargins left="0.7" right="0.7" top="0.75" bottom="0.75" header="0.3" footer="0.3"/>
  <pageSetup orientation="portrait" r:id="rId1"/>
  <headerFooter>
    <oddHeader>&amp;L&amp;G&amp;CRoundabout Analysis Tool
Instructions&amp;R&amp;10&amp;D
Version 4.2</oddHeader>
    <oddFooter>&amp;R&amp;10Georgia Department of Transportation
Office of Traffic Operations</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tint="0.39997558519241921"/>
  </sheetPr>
  <dimension ref="A1:AA201"/>
  <sheetViews>
    <sheetView zoomScaleNormal="100" workbookViewId="0">
      <selection activeCell="P95" sqref="P95"/>
    </sheetView>
  </sheetViews>
  <sheetFormatPr defaultColWidth="9.140625" defaultRowHeight="15" x14ac:dyDescent="0.25"/>
  <cols>
    <col min="1" max="1" width="15" style="574" customWidth="1"/>
    <col min="2" max="2" width="8" style="574" customWidth="1"/>
    <col min="3" max="10" width="8.42578125" style="574" customWidth="1"/>
    <col min="11" max="11" width="9.140625" style="591"/>
    <col min="12" max="12" width="16.5703125" style="591" customWidth="1"/>
    <col min="13" max="13" width="9.140625" style="591"/>
    <col min="14" max="14" width="22" style="591" customWidth="1"/>
    <col min="15" max="15" width="2.7109375" style="591" customWidth="1"/>
    <col min="16" max="16" width="13" style="591" customWidth="1"/>
    <col min="17" max="17" width="13.42578125" style="591" customWidth="1"/>
    <col min="18" max="18" width="9.140625" style="591"/>
    <col min="19" max="19" width="9.5703125" style="591" bestFit="1" customWidth="1"/>
    <col min="20" max="27" width="9.140625" style="591"/>
    <col min="28" max="16384" width="9.140625" style="574"/>
  </cols>
  <sheetData>
    <row r="1" spans="1:27" ht="15.75" thickBot="1" x14ac:dyDescent="0.3">
      <c r="A1" s="838" t="s">
        <v>12</v>
      </c>
      <c r="B1" s="839"/>
      <c r="C1" s="840"/>
      <c r="D1" s="840"/>
      <c r="E1" s="840"/>
      <c r="F1" s="840"/>
      <c r="G1" s="841" t="str">
        <f>'START HERE'!H2</f>
        <v>v 4.2</v>
      </c>
      <c r="H1" s="577"/>
      <c r="I1" s="577"/>
      <c r="J1" s="578"/>
      <c r="W1" s="447"/>
      <c r="X1" s="327"/>
      <c r="Y1" s="447"/>
      <c r="Z1" s="447"/>
      <c r="AA1" s="447"/>
    </row>
    <row r="2" spans="1:27" ht="15.75" thickTop="1" x14ac:dyDescent="0.25">
      <c r="A2" s="523" t="s">
        <v>13</v>
      </c>
      <c r="B2" s="912">
        <f>'START HERE'!C9</f>
        <v>0</v>
      </c>
      <c r="C2" s="912"/>
      <c r="D2" s="912"/>
      <c r="E2" s="912"/>
      <c r="F2" s="912"/>
      <c r="G2" s="912"/>
      <c r="H2" s="575"/>
      <c r="I2" s="575"/>
      <c r="J2" s="579"/>
      <c r="M2" s="593"/>
      <c r="N2" s="401"/>
      <c r="O2" s="593"/>
      <c r="P2" s="593"/>
      <c r="Q2" s="593"/>
      <c r="W2" s="447"/>
      <c r="X2" s="328"/>
      <c r="Y2" s="447"/>
      <c r="Z2" s="447"/>
      <c r="AA2" s="447"/>
    </row>
    <row r="3" spans="1:27" x14ac:dyDescent="0.25">
      <c r="A3" s="830" t="s">
        <v>332</v>
      </c>
      <c r="B3" s="913">
        <f>'START HERE'!C10</f>
        <v>0</v>
      </c>
      <c r="C3" s="913"/>
      <c r="D3" s="913"/>
      <c r="E3" s="913"/>
      <c r="F3" s="913"/>
      <c r="G3" s="913"/>
      <c r="H3" s="575"/>
      <c r="I3" s="575"/>
      <c r="J3" s="579"/>
      <c r="L3" s="464" t="s">
        <v>253</v>
      </c>
      <c r="M3" s="464"/>
      <c r="O3" s="593"/>
      <c r="P3" s="593"/>
      <c r="Q3" s="593"/>
      <c r="W3" s="447"/>
      <c r="X3" s="447"/>
      <c r="Y3" s="447"/>
      <c r="Z3" s="447"/>
      <c r="AA3" s="447"/>
    </row>
    <row r="4" spans="1:27" x14ac:dyDescent="0.25">
      <c r="A4" s="231" t="s">
        <v>15</v>
      </c>
      <c r="B4" s="914">
        <f>'START HERE'!C11</f>
        <v>0</v>
      </c>
      <c r="C4" s="914"/>
      <c r="D4" s="914"/>
      <c r="E4" s="914"/>
      <c r="F4" s="914"/>
      <c r="G4" s="914"/>
      <c r="H4" s="575"/>
      <c r="I4" s="575"/>
      <c r="J4" s="579"/>
      <c r="L4" s="461" t="s">
        <v>246</v>
      </c>
      <c r="M4" s="292" t="s">
        <v>245</v>
      </c>
      <c r="O4" s="593"/>
      <c r="P4" s="401"/>
      <c r="Q4" s="401"/>
      <c r="W4" s="447"/>
      <c r="X4" s="447"/>
      <c r="Y4" s="447"/>
      <c r="Z4" s="447"/>
      <c r="AA4" s="447"/>
    </row>
    <row r="5" spans="1:27" x14ac:dyDescent="0.25">
      <c r="A5" s="231" t="s">
        <v>330</v>
      </c>
      <c r="B5" s="913">
        <f>'START HERE'!C12</f>
        <v>0</v>
      </c>
      <c r="C5" s="913"/>
      <c r="D5" s="913"/>
      <c r="E5" s="913"/>
      <c r="F5" s="913"/>
      <c r="G5" s="913"/>
      <c r="H5" s="575"/>
      <c r="I5" s="575"/>
      <c r="J5" s="579"/>
      <c r="L5" s="460" t="s">
        <v>48</v>
      </c>
      <c r="M5" s="459">
        <f>'START HERE'!$AC$22</f>
        <v>0</v>
      </c>
      <c r="O5" s="592"/>
      <c r="P5" s="592"/>
      <c r="Q5" s="592"/>
      <c r="R5" s="383"/>
      <c r="W5" s="466"/>
      <c r="X5" s="330"/>
      <c r="Y5" s="447"/>
      <c r="Z5" s="447"/>
      <c r="AA5" s="447"/>
    </row>
    <row r="6" spans="1:27" x14ac:dyDescent="0.25">
      <c r="A6" s="231" t="s">
        <v>252</v>
      </c>
      <c r="B6" s="915">
        <f>'START HERE'!C13</f>
        <v>0</v>
      </c>
      <c r="C6" s="915"/>
      <c r="D6" s="915"/>
      <c r="E6" s="915"/>
      <c r="F6" s="915"/>
      <c r="G6" s="915"/>
      <c r="H6" s="575"/>
      <c r="I6" s="575"/>
      <c r="J6" s="579"/>
      <c r="L6" s="460" t="s">
        <v>49</v>
      </c>
      <c r="M6" s="459">
        <f>'START HERE'!$X$43</f>
        <v>0</v>
      </c>
      <c r="O6" s="592"/>
      <c r="P6" s="592"/>
      <c r="Q6" s="592"/>
      <c r="R6" s="383"/>
      <c r="W6" s="467"/>
      <c r="X6" s="328"/>
      <c r="Y6" s="447"/>
      <c r="Z6" s="447"/>
      <c r="AA6" s="447"/>
    </row>
    <row r="7" spans="1:27" x14ac:dyDescent="0.25">
      <c r="A7" s="231" t="s">
        <v>144</v>
      </c>
      <c r="B7" s="916">
        <f>'START HERE'!C14</f>
        <v>0</v>
      </c>
      <c r="C7" s="916"/>
      <c r="D7" s="916"/>
      <c r="E7" s="916"/>
      <c r="F7" s="916"/>
      <c r="G7" s="916"/>
      <c r="H7" s="575"/>
      <c r="I7" s="575"/>
      <c r="J7" s="579"/>
      <c r="L7" s="460" t="s">
        <v>50</v>
      </c>
      <c r="M7" s="459">
        <f>'START HERE'!$AE$33</f>
        <v>0</v>
      </c>
      <c r="O7" s="593"/>
      <c r="P7" s="593"/>
      <c r="Q7" s="593"/>
      <c r="W7" s="334"/>
      <c r="X7" s="447"/>
      <c r="Y7" s="447"/>
      <c r="Z7" s="447"/>
      <c r="AA7" s="447"/>
    </row>
    <row r="8" spans="1:27" x14ac:dyDescent="0.25">
      <c r="A8" s="917" t="s">
        <v>333</v>
      </c>
      <c r="B8" s="918">
        <f>'START HERE'!C15</f>
        <v>0</v>
      </c>
      <c r="C8" s="918"/>
      <c r="D8" s="918"/>
      <c r="E8" s="918"/>
      <c r="F8" s="918"/>
      <c r="G8" s="918"/>
      <c r="H8" s="575"/>
      <c r="I8" s="575"/>
      <c r="J8" s="579"/>
      <c r="L8" s="460" t="s">
        <v>51</v>
      </c>
      <c r="M8" s="459">
        <f>'START HERE'!AA48</f>
        <v>0</v>
      </c>
      <c r="O8" s="593"/>
      <c r="W8" s="336"/>
      <c r="X8" s="447"/>
      <c r="Y8" s="447"/>
      <c r="Z8" s="447"/>
      <c r="AA8" s="447"/>
    </row>
    <row r="9" spans="1:27" x14ac:dyDescent="0.25">
      <c r="A9" s="917"/>
      <c r="B9" s="919"/>
      <c r="C9" s="919"/>
      <c r="D9" s="919"/>
      <c r="E9" s="919"/>
      <c r="F9" s="919"/>
      <c r="G9" s="919"/>
      <c r="H9" s="575"/>
      <c r="I9" s="575"/>
      <c r="J9" s="579"/>
      <c r="L9" s="460" t="s">
        <v>52</v>
      </c>
      <c r="M9" s="459">
        <f>'START HERE'!$X$39</f>
        <v>0</v>
      </c>
      <c r="O9" s="593"/>
      <c r="W9" s="337"/>
      <c r="X9" s="447"/>
      <c r="Y9" s="447"/>
      <c r="Z9" s="447"/>
      <c r="AA9" s="447"/>
    </row>
    <row r="10" spans="1:27" x14ac:dyDescent="0.25">
      <c r="A10" s="742"/>
      <c r="B10" s="575"/>
      <c r="C10" s="575"/>
      <c r="D10" s="575"/>
      <c r="E10" s="575"/>
      <c r="F10" s="575"/>
      <c r="G10" s="575"/>
      <c r="H10" s="575"/>
      <c r="I10" s="575"/>
      <c r="J10" s="579"/>
      <c r="L10" s="460" t="s">
        <v>53</v>
      </c>
      <c r="M10" s="459">
        <f>'START HERE'!$V$49</f>
        <v>0</v>
      </c>
      <c r="O10" s="593"/>
      <c r="W10" s="466"/>
      <c r="X10" s="447"/>
      <c r="Y10" s="447"/>
      <c r="Z10" s="447"/>
      <c r="AA10" s="447"/>
    </row>
    <row r="11" spans="1:27" s="371" customFormat="1" x14ac:dyDescent="0.25">
      <c r="A11" s="920" t="s">
        <v>1</v>
      </c>
      <c r="B11" s="921"/>
      <c r="C11" s="166"/>
      <c r="D11" s="166"/>
      <c r="E11" s="166"/>
      <c r="F11" s="835" t="s">
        <v>152</v>
      </c>
      <c r="G11" s="166"/>
      <c r="H11" s="166"/>
      <c r="I11" s="166"/>
      <c r="J11" s="600"/>
      <c r="K11" s="383"/>
      <c r="L11" s="460" t="s">
        <v>54</v>
      </c>
      <c r="M11" s="463">
        <f>'START HERE'!$V$27</f>
        <v>0</v>
      </c>
      <c r="N11" s="383"/>
      <c r="O11" s="593"/>
      <c r="P11" s="383"/>
      <c r="Q11" s="383"/>
      <c r="R11" s="591"/>
      <c r="S11" s="383"/>
      <c r="T11" s="383"/>
      <c r="U11" s="383"/>
      <c r="V11" s="383"/>
      <c r="W11" s="468"/>
      <c r="X11" s="447"/>
      <c r="Y11" s="447"/>
      <c r="Z11" s="447"/>
      <c r="AA11" s="447"/>
    </row>
    <row r="12" spans="1:27" s="371" customFormat="1" ht="15.75" thickBot="1" x14ac:dyDescent="0.3">
      <c r="A12" s="601"/>
      <c r="B12" s="602"/>
      <c r="C12" s="602" t="s">
        <v>48</v>
      </c>
      <c r="D12" s="602" t="s">
        <v>49</v>
      </c>
      <c r="E12" s="602" t="s">
        <v>50</v>
      </c>
      <c r="F12" s="602" t="s">
        <v>51</v>
      </c>
      <c r="G12" s="602" t="s">
        <v>52</v>
      </c>
      <c r="H12" s="602" t="s">
        <v>53</v>
      </c>
      <c r="I12" s="602" t="s">
        <v>54</v>
      </c>
      <c r="J12" s="603" t="s">
        <v>55</v>
      </c>
      <c r="K12" s="592"/>
      <c r="L12" s="460" t="s">
        <v>55</v>
      </c>
      <c r="M12" s="459">
        <f>'START HERE'!$V$43</f>
        <v>0</v>
      </c>
      <c r="N12" s="383"/>
      <c r="O12" s="593"/>
      <c r="P12" s="383"/>
      <c r="Q12" s="383"/>
      <c r="R12" s="591"/>
      <c r="S12" s="383"/>
      <c r="T12" s="383"/>
      <c r="U12" s="383"/>
      <c r="V12" s="383"/>
      <c r="W12" s="339"/>
      <c r="X12" s="466"/>
      <c r="Y12" s="447"/>
      <c r="Z12" s="447"/>
      <c r="AA12" s="447"/>
    </row>
    <row r="13" spans="1:27" ht="15.75" thickTop="1" x14ac:dyDescent="0.25">
      <c r="A13" s="910" t="s">
        <v>153</v>
      </c>
      <c r="B13" s="911"/>
      <c r="C13" s="62"/>
      <c r="D13" s="62"/>
      <c r="E13" s="62"/>
      <c r="F13" s="62"/>
      <c r="G13" s="62"/>
      <c r="H13" s="62"/>
      <c r="I13" s="62"/>
      <c r="J13" s="63"/>
      <c r="K13" s="593"/>
      <c r="L13" s="593"/>
      <c r="M13" s="592"/>
      <c r="N13" s="127"/>
      <c r="O13" s="593"/>
      <c r="W13" s="339"/>
      <c r="X13" s="467"/>
      <c r="Y13" s="447"/>
      <c r="Z13" s="340"/>
      <c r="AA13" s="340"/>
    </row>
    <row r="14" spans="1:27" x14ac:dyDescent="0.25">
      <c r="A14" s="910" t="s">
        <v>154</v>
      </c>
      <c r="B14" s="911"/>
      <c r="C14" s="581"/>
      <c r="D14" s="581"/>
      <c r="E14" s="581"/>
      <c r="F14" s="581"/>
      <c r="G14" s="581"/>
      <c r="H14" s="581"/>
      <c r="I14" s="581"/>
      <c r="J14" s="582"/>
      <c r="K14" s="592"/>
      <c r="L14" s="593"/>
      <c r="M14" s="592"/>
      <c r="N14" s="593"/>
      <c r="O14" s="593"/>
      <c r="W14" s="339"/>
      <c r="X14" s="468"/>
      <c r="Y14" s="447"/>
      <c r="Z14" s="447"/>
      <c r="AA14" s="447"/>
    </row>
    <row r="15" spans="1:27" x14ac:dyDescent="0.25">
      <c r="A15" s="910" t="s">
        <v>155</v>
      </c>
      <c r="B15" s="911"/>
      <c r="C15" s="581"/>
      <c r="D15" s="581"/>
      <c r="E15" s="581"/>
      <c r="F15" s="581"/>
      <c r="G15" s="581"/>
      <c r="H15" s="581"/>
      <c r="I15" s="581"/>
      <c r="J15" s="582"/>
      <c r="K15" s="593"/>
      <c r="L15" s="593"/>
      <c r="M15" s="387"/>
      <c r="O15" s="593"/>
      <c r="W15" s="469"/>
      <c r="X15" s="467"/>
      <c r="Y15" s="447"/>
      <c r="Z15" s="447"/>
      <c r="AA15" s="447"/>
    </row>
    <row r="16" spans="1:27" x14ac:dyDescent="0.25">
      <c r="A16" s="910" t="s">
        <v>156</v>
      </c>
      <c r="B16" s="911"/>
      <c r="C16" s="581"/>
      <c r="D16" s="581"/>
      <c r="E16" s="581"/>
      <c r="F16" s="581"/>
      <c r="G16" s="581"/>
      <c r="H16" s="581"/>
      <c r="I16" s="581"/>
      <c r="J16" s="582"/>
      <c r="K16" s="593"/>
      <c r="L16" s="593"/>
      <c r="M16" s="387"/>
      <c r="O16" s="593"/>
      <c r="W16" s="469"/>
      <c r="X16" s="467"/>
      <c r="Y16" s="447"/>
      <c r="Z16" s="447"/>
      <c r="AA16" s="447"/>
    </row>
    <row r="17" spans="1:27" x14ac:dyDescent="0.25">
      <c r="A17" s="910" t="s">
        <v>61</v>
      </c>
      <c r="B17" s="911"/>
      <c r="C17" s="581"/>
      <c r="D17" s="581"/>
      <c r="E17" s="581"/>
      <c r="F17" s="581"/>
      <c r="G17" s="581"/>
      <c r="H17" s="581"/>
      <c r="I17" s="581"/>
      <c r="J17" s="582"/>
      <c r="K17" s="593"/>
      <c r="L17" s="593"/>
      <c r="M17" s="389"/>
      <c r="O17" s="593"/>
      <c r="W17" s="446"/>
      <c r="X17" s="467"/>
      <c r="Y17" s="447"/>
      <c r="Z17" s="342"/>
      <c r="AA17" s="447"/>
    </row>
    <row r="18" spans="1:27" x14ac:dyDescent="0.25">
      <c r="A18" s="910" t="s">
        <v>62</v>
      </c>
      <c r="B18" s="911"/>
      <c r="C18" s="581"/>
      <c r="D18" s="581"/>
      <c r="E18" s="581"/>
      <c r="F18" s="581"/>
      <c r="G18" s="581"/>
      <c r="H18" s="581"/>
      <c r="I18" s="581"/>
      <c r="J18" s="582"/>
      <c r="K18" s="592"/>
      <c r="L18" s="592"/>
      <c r="M18" s="391"/>
      <c r="N18" s="227"/>
      <c r="O18" s="593"/>
      <c r="W18" s="343"/>
      <c r="X18" s="467"/>
      <c r="Y18" s="447"/>
      <c r="Z18" s="447"/>
      <c r="AA18" s="447"/>
    </row>
    <row r="19" spans="1:27" x14ac:dyDescent="0.25">
      <c r="A19" s="910" t="s">
        <v>63</v>
      </c>
      <c r="B19" s="911"/>
      <c r="C19" s="581"/>
      <c r="D19" s="581"/>
      <c r="E19" s="581"/>
      <c r="F19" s="581"/>
      <c r="G19" s="581"/>
      <c r="H19" s="581"/>
      <c r="I19" s="581"/>
      <c r="J19" s="582"/>
      <c r="K19" s="592"/>
      <c r="L19" s="592"/>
      <c r="N19" s="593"/>
    </row>
    <row r="20" spans="1:27" x14ac:dyDescent="0.25">
      <c r="A20" s="910" t="s">
        <v>64</v>
      </c>
      <c r="B20" s="911"/>
      <c r="C20" s="581"/>
      <c r="D20" s="581"/>
      <c r="E20" s="581"/>
      <c r="F20" s="581"/>
      <c r="G20" s="581"/>
      <c r="H20" s="581"/>
      <c r="I20" s="581"/>
      <c r="J20" s="582"/>
      <c r="K20" s="592"/>
      <c r="L20" s="592"/>
    </row>
    <row r="21" spans="1:27" x14ac:dyDescent="0.25">
      <c r="A21" s="910" t="s">
        <v>65</v>
      </c>
      <c r="B21" s="911"/>
      <c r="C21" s="207">
        <f>SUM(C13:C20)</f>
        <v>0</v>
      </c>
      <c r="D21" s="207">
        <f>SUM(D13:D20)</f>
        <v>0</v>
      </c>
      <c r="E21" s="207">
        <f t="shared" ref="E21:J21" si="0">SUM(E13:E20)</f>
        <v>0</v>
      </c>
      <c r="F21" s="207">
        <f t="shared" si="0"/>
        <v>0</v>
      </c>
      <c r="G21" s="207">
        <f>SUM(G13:G20)</f>
        <v>0</v>
      </c>
      <c r="H21" s="207">
        <f t="shared" si="0"/>
        <v>0</v>
      </c>
      <c r="I21" s="207">
        <f t="shared" si="0"/>
        <v>0</v>
      </c>
      <c r="J21" s="208">
        <f t="shared" si="0"/>
        <v>0</v>
      </c>
      <c r="K21" s="593"/>
      <c r="L21" s="387"/>
      <c r="N21" s="421" t="s">
        <v>147</v>
      </c>
      <c r="O21" s="422"/>
    </row>
    <row r="22" spans="1:27" x14ac:dyDescent="0.25">
      <c r="A22" s="580"/>
      <c r="B22" s="575"/>
      <c r="C22" s="575"/>
      <c r="D22" s="575"/>
      <c r="E22" s="575"/>
      <c r="F22" s="575"/>
      <c r="G22" s="575"/>
      <c r="H22" s="575"/>
      <c r="I22" s="575"/>
      <c r="J22" s="579"/>
      <c r="K22" s="593"/>
      <c r="L22" s="387"/>
      <c r="N22" s="158" t="s">
        <v>6</v>
      </c>
      <c r="O22" s="157"/>
      <c r="P22" s="157" t="s">
        <v>7</v>
      </c>
    </row>
    <row r="23" spans="1:27" x14ac:dyDescent="0.25">
      <c r="A23" s="924" t="s">
        <v>67</v>
      </c>
      <c r="B23" s="925"/>
      <c r="C23" s="832" t="s">
        <v>28</v>
      </c>
      <c r="D23" s="832" t="s">
        <v>29</v>
      </c>
      <c r="E23" s="832" t="s">
        <v>30</v>
      </c>
      <c r="F23" s="832" t="s">
        <v>31</v>
      </c>
      <c r="G23" s="832" t="s">
        <v>32</v>
      </c>
      <c r="H23" s="832" t="s">
        <v>33</v>
      </c>
      <c r="I23" s="832" t="s">
        <v>68</v>
      </c>
      <c r="J23" s="172" t="s">
        <v>35</v>
      </c>
      <c r="K23" s="388"/>
      <c r="L23" s="389"/>
      <c r="N23" s="156" t="s">
        <v>8</v>
      </c>
      <c r="O23" s="405"/>
      <c r="P23" s="428">
        <v>1</v>
      </c>
    </row>
    <row r="24" spans="1:27" x14ac:dyDescent="0.25">
      <c r="A24" s="926" t="s">
        <v>0</v>
      </c>
      <c r="B24" s="927"/>
      <c r="C24" s="787">
        <f>1-C25-C26</f>
        <v>1</v>
      </c>
      <c r="D24" s="787">
        <f t="shared" ref="D24:J24" si="1">1-D25-D26</f>
        <v>1</v>
      </c>
      <c r="E24" s="787">
        <f t="shared" si="1"/>
        <v>1</v>
      </c>
      <c r="F24" s="787">
        <f t="shared" si="1"/>
        <v>1</v>
      </c>
      <c r="G24" s="787">
        <f t="shared" si="1"/>
        <v>1</v>
      </c>
      <c r="H24" s="787">
        <f t="shared" si="1"/>
        <v>1</v>
      </c>
      <c r="I24" s="787">
        <f t="shared" si="1"/>
        <v>1</v>
      </c>
      <c r="J24" s="788">
        <f t="shared" si="1"/>
        <v>1</v>
      </c>
      <c r="K24" s="390"/>
      <c r="L24" s="391"/>
      <c r="N24" s="156" t="s">
        <v>270</v>
      </c>
      <c r="O24" s="405"/>
      <c r="P24" s="428">
        <v>2</v>
      </c>
    </row>
    <row r="25" spans="1:27" x14ac:dyDescent="0.25">
      <c r="A25" s="926" t="s">
        <v>268</v>
      </c>
      <c r="B25" s="927"/>
      <c r="C25" s="789">
        <v>0</v>
      </c>
      <c r="D25" s="789">
        <v>0</v>
      </c>
      <c r="E25" s="789">
        <v>0</v>
      </c>
      <c r="F25" s="789">
        <v>0</v>
      </c>
      <c r="G25" s="789">
        <v>0</v>
      </c>
      <c r="H25" s="789">
        <v>0</v>
      </c>
      <c r="I25" s="789">
        <v>0</v>
      </c>
      <c r="J25" s="786">
        <v>0</v>
      </c>
      <c r="K25" s="390"/>
      <c r="L25" s="387"/>
      <c r="M25" s="387"/>
      <c r="N25" s="156" t="s">
        <v>131</v>
      </c>
      <c r="O25" s="405"/>
      <c r="P25" s="428">
        <v>0.5</v>
      </c>
    </row>
    <row r="26" spans="1:27" x14ac:dyDescent="0.25">
      <c r="A26" s="926" t="s">
        <v>92</v>
      </c>
      <c r="B26" s="927"/>
      <c r="C26" s="789">
        <v>0</v>
      </c>
      <c r="D26" s="789">
        <v>0</v>
      </c>
      <c r="E26" s="789">
        <v>0</v>
      </c>
      <c r="F26" s="789">
        <v>0</v>
      </c>
      <c r="G26" s="789">
        <v>0</v>
      </c>
      <c r="H26" s="789">
        <v>0</v>
      </c>
      <c r="I26" s="789">
        <v>0</v>
      </c>
      <c r="J26" s="786">
        <v>0</v>
      </c>
      <c r="K26" s="390"/>
      <c r="L26" s="389"/>
      <c r="M26" s="389"/>
      <c r="N26" s="156"/>
      <c r="O26" s="405"/>
      <c r="P26" s="428"/>
    </row>
    <row r="27" spans="1:27" ht="15.75" thickBot="1" x14ac:dyDescent="0.3">
      <c r="A27" s="928" t="s">
        <v>271</v>
      </c>
      <c r="B27" s="929"/>
      <c r="C27" s="681">
        <v>0</v>
      </c>
      <c r="D27" s="681">
        <v>0</v>
      </c>
      <c r="E27" s="681">
        <v>0</v>
      </c>
      <c r="F27" s="681">
        <v>0</v>
      </c>
      <c r="G27" s="681">
        <v>0</v>
      </c>
      <c r="H27" s="681">
        <v>0</v>
      </c>
      <c r="I27" s="681">
        <v>0</v>
      </c>
      <c r="J27" s="682">
        <v>0</v>
      </c>
      <c r="K27" s="390"/>
      <c r="L27" s="134"/>
      <c r="M27" s="134"/>
      <c r="N27" s="593"/>
    </row>
    <row r="28" spans="1:27" ht="16.5" thickTop="1" thickBot="1" x14ac:dyDescent="0.3">
      <c r="A28" s="922" t="s">
        <v>5</v>
      </c>
      <c r="B28" s="923"/>
      <c r="C28" s="598">
        <v>0.95</v>
      </c>
      <c r="D28" s="598">
        <v>0.95</v>
      </c>
      <c r="E28" s="598">
        <v>0.95</v>
      </c>
      <c r="F28" s="598">
        <v>0.95</v>
      </c>
      <c r="G28" s="598">
        <v>0.95</v>
      </c>
      <c r="H28" s="598">
        <v>0.95</v>
      </c>
      <c r="I28" s="598">
        <v>0.95</v>
      </c>
      <c r="J28" s="609">
        <v>0.95</v>
      </c>
      <c r="K28" s="593"/>
      <c r="L28" s="593"/>
      <c r="M28" s="593"/>
      <c r="N28" s="408" t="s">
        <v>148</v>
      </c>
      <c r="O28" s="407"/>
      <c r="P28" s="429">
        <v>25</v>
      </c>
    </row>
    <row r="29" spans="1:27" ht="16.5" thickTop="1" x14ac:dyDescent="0.3">
      <c r="A29" s="930" t="s">
        <v>69</v>
      </c>
      <c r="B29" s="931"/>
      <c r="C29" s="120">
        <f>IF(C$21=0,1,1/(1+(C$25*($P$24-1))+(C$26*($P$25-1))))</f>
        <v>1</v>
      </c>
      <c r="D29" s="120">
        <f t="shared" ref="D29:J29" si="2">IF(D$21=0,1,1/(1+(D$25*($P$24-1))+(D$26*($P$25-1))))</f>
        <v>1</v>
      </c>
      <c r="E29" s="120">
        <f t="shared" si="2"/>
        <v>1</v>
      </c>
      <c r="F29" s="120">
        <f t="shared" si="2"/>
        <v>1</v>
      </c>
      <c r="G29" s="120">
        <f t="shared" si="2"/>
        <v>1</v>
      </c>
      <c r="H29" s="120">
        <f t="shared" si="2"/>
        <v>1</v>
      </c>
      <c r="I29" s="120">
        <f t="shared" si="2"/>
        <v>1</v>
      </c>
      <c r="J29" s="495">
        <f t="shared" si="2"/>
        <v>1</v>
      </c>
      <c r="K29" s="592"/>
      <c r="L29" s="387"/>
      <c r="M29" s="393"/>
      <c r="T29" s="447"/>
      <c r="U29" s="447"/>
      <c r="V29" s="447"/>
      <c r="W29" s="447"/>
    </row>
    <row r="30" spans="1:27" ht="15.75" x14ac:dyDescent="0.3">
      <c r="A30" s="926" t="s">
        <v>269</v>
      </c>
      <c r="B30" s="927"/>
      <c r="C30" s="503">
        <f t="shared" ref="C30:J30" si="3">IF(C42&gt;881,1,(IF(C27&lt;101,(1-(0.000137*C27)),((1119.5-(0.715*C42)-(0.644*C27)+(0.00073*C42*C27))/(1068.6-(0.654*C42))))))</f>
        <v>1</v>
      </c>
      <c r="D30" s="503">
        <f t="shared" si="3"/>
        <v>1</v>
      </c>
      <c r="E30" s="503">
        <f t="shared" si="3"/>
        <v>1</v>
      </c>
      <c r="F30" s="503">
        <f t="shared" si="3"/>
        <v>1</v>
      </c>
      <c r="G30" s="503">
        <f t="shared" si="3"/>
        <v>1</v>
      </c>
      <c r="H30" s="503">
        <f t="shared" si="3"/>
        <v>1</v>
      </c>
      <c r="I30" s="503">
        <f t="shared" si="3"/>
        <v>1</v>
      </c>
      <c r="J30" s="524">
        <f t="shared" si="3"/>
        <v>1</v>
      </c>
      <c r="K30" s="592"/>
      <c r="L30" s="387"/>
      <c r="M30" s="393"/>
      <c r="T30" s="447"/>
      <c r="U30" s="447"/>
      <c r="V30" s="447"/>
      <c r="W30" s="447"/>
    </row>
    <row r="31" spans="1:27" x14ac:dyDescent="0.25">
      <c r="A31" s="580"/>
      <c r="B31" s="575"/>
      <c r="C31" s="575"/>
      <c r="D31" s="575"/>
      <c r="E31" s="575"/>
      <c r="F31" s="575"/>
      <c r="G31" s="575"/>
      <c r="H31" s="575"/>
      <c r="I31" s="575"/>
      <c r="J31" s="632"/>
      <c r="K31" s="390"/>
      <c r="L31" s="393"/>
      <c r="M31" s="387"/>
      <c r="T31" s="344"/>
      <c r="U31" s="344"/>
      <c r="V31" s="344"/>
      <c r="W31" s="344"/>
    </row>
    <row r="32" spans="1:27" ht="15.75" customHeight="1" thickBot="1" x14ac:dyDescent="0.3">
      <c r="A32" s="920" t="s">
        <v>70</v>
      </c>
      <c r="B32" s="921"/>
      <c r="C32" s="836" t="s">
        <v>28</v>
      </c>
      <c r="D32" s="836" t="s">
        <v>29</v>
      </c>
      <c r="E32" s="836" t="s">
        <v>30</v>
      </c>
      <c r="F32" s="836" t="s">
        <v>31</v>
      </c>
      <c r="G32" s="836" t="s">
        <v>32</v>
      </c>
      <c r="H32" s="836" t="s">
        <v>33</v>
      </c>
      <c r="I32" s="836" t="s">
        <v>68</v>
      </c>
      <c r="J32" s="604" t="s">
        <v>35</v>
      </c>
      <c r="K32" s="390"/>
      <c r="L32" s="593"/>
      <c r="M32" s="593"/>
      <c r="N32" s="932"/>
      <c r="O32" s="932"/>
      <c r="P32" s="932"/>
      <c r="Q32" s="932"/>
      <c r="R32" s="593"/>
      <c r="S32" s="593"/>
      <c r="T32" s="344"/>
      <c r="U32" s="344" t="s">
        <v>267</v>
      </c>
      <c r="V32" s="344"/>
      <c r="W32" s="344"/>
    </row>
    <row r="33" spans="1:23" ht="15.75" thickTop="1" x14ac:dyDescent="0.25">
      <c r="A33" s="933" t="s">
        <v>71</v>
      </c>
      <c r="B33" s="934"/>
      <c r="C33" s="584">
        <f t="shared" ref="C33:J40" si="4">C13/(C$28*C$29)</f>
        <v>0</v>
      </c>
      <c r="D33" s="584">
        <f t="shared" si="4"/>
        <v>0</v>
      </c>
      <c r="E33" s="584">
        <f t="shared" si="4"/>
        <v>0</v>
      </c>
      <c r="F33" s="584">
        <f t="shared" si="4"/>
        <v>0</v>
      </c>
      <c r="G33" s="584">
        <f t="shared" si="4"/>
        <v>0</v>
      </c>
      <c r="H33" s="584">
        <f t="shared" si="4"/>
        <v>0</v>
      </c>
      <c r="I33" s="584">
        <f t="shared" si="4"/>
        <v>0</v>
      </c>
      <c r="J33" s="585">
        <f t="shared" si="4"/>
        <v>0</v>
      </c>
      <c r="K33" s="204"/>
      <c r="L33" s="393"/>
      <c r="M33" s="593"/>
      <c r="N33" s="932"/>
      <c r="O33" s="932"/>
      <c r="P33" s="932"/>
      <c r="Q33" s="932"/>
      <c r="R33" s="593"/>
      <c r="S33" s="593"/>
      <c r="T33" s="344"/>
      <c r="U33" s="466" t="s">
        <v>48</v>
      </c>
      <c r="V33" s="345">
        <f>SUM(C33:J33)</f>
        <v>0</v>
      </c>
      <c r="W33" s="344"/>
    </row>
    <row r="34" spans="1:23" x14ac:dyDescent="0.25">
      <c r="A34" s="910" t="s">
        <v>72</v>
      </c>
      <c r="B34" s="911"/>
      <c r="C34" s="586">
        <f t="shared" si="4"/>
        <v>0</v>
      </c>
      <c r="D34" s="586">
        <f t="shared" si="4"/>
        <v>0</v>
      </c>
      <c r="E34" s="586">
        <f t="shared" si="4"/>
        <v>0</v>
      </c>
      <c r="F34" s="586">
        <f t="shared" si="4"/>
        <v>0</v>
      </c>
      <c r="G34" s="586">
        <f t="shared" si="4"/>
        <v>0</v>
      </c>
      <c r="H34" s="586">
        <f t="shared" si="4"/>
        <v>0</v>
      </c>
      <c r="I34" s="586">
        <f t="shared" si="4"/>
        <v>0</v>
      </c>
      <c r="J34" s="587">
        <f t="shared" si="4"/>
        <v>0</v>
      </c>
      <c r="K34" s="204"/>
      <c r="L34" s="394"/>
      <c r="M34" s="593"/>
      <c r="N34" s="593"/>
      <c r="O34" s="593"/>
      <c r="P34" s="384"/>
      <c r="Q34" s="472"/>
      <c r="R34" s="466"/>
      <c r="S34" s="468"/>
      <c r="T34" s="344"/>
      <c r="U34" s="466" t="s">
        <v>49</v>
      </c>
      <c r="V34" s="345">
        <f t="shared" ref="V34:V40" si="5">SUM(C34:J34)</f>
        <v>0</v>
      </c>
      <c r="W34" s="344"/>
    </row>
    <row r="35" spans="1:23" x14ac:dyDescent="0.25">
      <c r="A35" s="910" t="s">
        <v>73</v>
      </c>
      <c r="B35" s="911"/>
      <c r="C35" s="586">
        <f t="shared" si="4"/>
        <v>0</v>
      </c>
      <c r="D35" s="586">
        <f t="shared" si="4"/>
        <v>0</v>
      </c>
      <c r="E35" s="586">
        <f t="shared" si="4"/>
        <v>0</v>
      </c>
      <c r="F35" s="586">
        <f t="shared" si="4"/>
        <v>0</v>
      </c>
      <c r="G35" s="586">
        <f t="shared" si="4"/>
        <v>0</v>
      </c>
      <c r="H35" s="586">
        <f t="shared" si="4"/>
        <v>0</v>
      </c>
      <c r="I35" s="586">
        <f t="shared" si="4"/>
        <v>0</v>
      </c>
      <c r="J35" s="587">
        <f t="shared" si="4"/>
        <v>0</v>
      </c>
      <c r="K35" s="204"/>
      <c r="L35" s="395"/>
      <c r="M35" s="593"/>
      <c r="N35" s="611"/>
      <c r="O35" s="473"/>
      <c r="P35" s="354"/>
      <c r="Q35" s="474"/>
      <c r="R35" s="467"/>
      <c r="S35" s="475"/>
      <c r="T35" s="344"/>
      <c r="U35" s="466" t="s">
        <v>50</v>
      </c>
      <c r="V35" s="345">
        <f t="shared" si="5"/>
        <v>0</v>
      </c>
      <c r="W35" s="344"/>
    </row>
    <row r="36" spans="1:23" x14ac:dyDescent="0.25">
      <c r="A36" s="910" t="s">
        <v>74</v>
      </c>
      <c r="B36" s="911"/>
      <c r="C36" s="586">
        <f t="shared" si="4"/>
        <v>0</v>
      </c>
      <c r="D36" s="586">
        <f t="shared" si="4"/>
        <v>0</v>
      </c>
      <c r="E36" s="586">
        <f t="shared" si="4"/>
        <v>0</v>
      </c>
      <c r="F36" s="586">
        <f t="shared" si="4"/>
        <v>0</v>
      </c>
      <c r="G36" s="586">
        <f t="shared" si="4"/>
        <v>0</v>
      </c>
      <c r="H36" s="586">
        <f t="shared" si="4"/>
        <v>0</v>
      </c>
      <c r="I36" s="586">
        <f t="shared" si="4"/>
        <v>0</v>
      </c>
      <c r="J36" s="587">
        <f t="shared" si="4"/>
        <v>0</v>
      </c>
      <c r="K36" s="204"/>
      <c r="L36" s="387"/>
      <c r="N36" s="401"/>
      <c r="O36" s="357"/>
      <c r="P36" s="354"/>
      <c r="Q36" s="474"/>
      <c r="R36" s="468"/>
      <c r="S36" s="468"/>
      <c r="T36" s="344"/>
      <c r="U36" s="466" t="s">
        <v>51</v>
      </c>
      <c r="V36" s="345">
        <f t="shared" si="5"/>
        <v>0</v>
      </c>
      <c r="W36" s="344"/>
    </row>
    <row r="37" spans="1:23" ht="15" customHeight="1" x14ac:dyDescent="0.25">
      <c r="A37" s="910" t="s">
        <v>75</v>
      </c>
      <c r="B37" s="911"/>
      <c r="C37" s="586">
        <f t="shared" si="4"/>
        <v>0</v>
      </c>
      <c r="D37" s="586">
        <f t="shared" si="4"/>
        <v>0</v>
      </c>
      <c r="E37" s="586">
        <f t="shared" si="4"/>
        <v>0</v>
      </c>
      <c r="F37" s="586">
        <f t="shared" si="4"/>
        <v>0</v>
      </c>
      <c r="G37" s="586">
        <f t="shared" si="4"/>
        <v>0</v>
      </c>
      <c r="H37" s="586">
        <f t="shared" si="4"/>
        <v>0</v>
      </c>
      <c r="I37" s="586">
        <f t="shared" si="4"/>
        <v>0</v>
      </c>
      <c r="J37" s="587">
        <f t="shared" si="4"/>
        <v>0</v>
      </c>
      <c r="K37" s="204"/>
      <c r="L37" s="394"/>
      <c r="N37" s="476"/>
      <c r="O37" s="477"/>
      <c r="P37" s="354"/>
      <c r="Q37" s="469"/>
      <c r="R37" s="467"/>
      <c r="S37" s="478"/>
      <c r="T37" s="344"/>
      <c r="U37" s="466" t="s">
        <v>52</v>
      </c>
      <c r="V37" s="345">
        <f t="shared" si="5"/>
        <v>0</v>
      </c>
      <c r="W37" s="344"/>
    </row>
    <row r="38" spans="1:23" x14ac:dyDescent="0.25">
      <c r="A38" s="910" t="s">
        <v>76</v>
      </c>
      <c r="B38" s="911"/>
      <c r="C38" s="586">
        <f t="shared" si="4"/>
        <v>0</v>
      </c>
      <c r="D38" s="586">
        <f t="shared" si="4"/>
        <v>0</v>
      </c>
      <c r="E38" s="586">
        <f t="shared" si="4"/>
        <v>0</v>
      </c>
      <c r="F38" s="586">
        <f t="shared" si="4"/>
        <v>0</v>
      </c>
      <c r="G38" s="586">
        <f t="shared" si="4"/>
        <v>0</v>
      </c>
      <c r="H38" s="586">
        <f t="shared" si="4"/>
        <v>0</v>
      </c>
      <c r="I38" s="586">
        <f t="shared" si="4"/>
        <v>0</v>
      </c>
      <c r="J38" s="587">
        <f t="shared" si="4"/>
        <v>0</v>
      </c>
      <c r="K38" s="204"/>
      <c r="L38" s="593"/>
      <c r="N38" s="476"/>
      <c r="O38" s="389"/>
      <c r="P38" s="354"/>
      <c r="Q38" s="474"/>
      <c r="R38" s="467"/>
      <c r="S38" s="478"/>
      <c r="T38" s="344"/>
      <c r="U38" s="466" t="s">
        <v>53</v>
      </c>
      <c r="V38" s="345">
        <f t="shared" si="5"/>
        <v>0</v>
      </c>
      <c r="W38" s="344"/>
    </row>
    <row r="39" spans="1:23" x14ac:dyDescent="0.25">
      <c r="A39" s="910" t="s">
        <v>77</v>
      </c>
      <c r="B39" s="911"/>
      <c r="C39" s="586">
        <f t="shared" si="4"/>
        <v>0</v>
      </c>
      <c r="D39" s="586">
        <f t="shared" si="4"/>
        <v>0</v>
      </c>
      <c r="E39" s="586">
        <f t="shared" si="4"/>
        <v>0</v>
      </c>
      <c r="F39" s="586">
        <f t="shared" si="4"/>
        <v>0</v>
      </c>
      <c r="G39" s="586">
        <f t="shared" si="4"/>
        <v>0</v>
      </c>
      <c r="H39" s="586">
        <f t="shared" si="4"/>
        <v>0</v>
      </c>
      <c r="I39" s="586">
        <f t="shared" si="4"/>
        <v>0</v>
      </c>
      <c r="J39" s="587">
        <f t="shared" si="4"/>
        <v>0</v>
      </c>
      <c r="K39" s="204"/>
      <c r="N39" s="476"/>
      <c r="O39" s="389"/>
      <c r="P39" s="354"/>
      <c r="Q39" s="474"/>
      <c r="R39" s="467"/>
      <c r="S39" s="479"/>
      <c r="T39" s="344"/>
      <c r="U39" s="466" t="s">
        <v>54</v>
      </c>
      <c r="V39" s="345">
        <f t="shared" si="5"/>
        <v>0</v>
      </c>
      <c r="W39" s="344"/>
    </row>
    <row r="40" spans="1:23" x14ac:dyDescent="0.25">
      <c r="A40" s="910" t="s">
        <v>78</v>
      </c>
      <c r="B40" s="911"/>
      <c r="C40" s="586">
        <f t="shared" si="4"/>
        <v>0</v>
      </c>
      <c r="D40" s="586">
        <f t="shared" si="4"/>
        <v>0</v>
      </c>
      <c r="E40" s="586">
        <f t="shared" si="4"/>
        <v>0</v>
      </c>
      <c r="F40" s="586">
        <f t="shared" si="4"/>
        <v>0</v>
      </c>
      <c r="G40" s="586">
        <f t="shared" si="4"/>
        <v>0</v>
      </c>
      <c r="H40" s="586">
        <f t="shared" si="4"/>
        <v>0</v>
      </c>
      <c r="I40" s="586">
        <f t="shared" si="4"/>
        <v>0</v>
      </c>
      <c r="J40" s="587">
        <f t="shared" si="4"/>
        <v>0</v>
      </c>
      <c r="K40" s="204"/>
      <c r="N40" s="476"/>
      <c r="O40" s="473"/>
      <c r="P40" s="354"/>
      <c r="Q40" s="474"/>
      <c r="R40" s="467"/>
      <c r="S40" s="468"/>
      <c r="T40" s="344"/>
      <c r="U40" s="466" t="s">
        <v>55</v>
      </c>
      <c r="V40" s="345">
        <f t="shared" si="5"/>
        <v>0</v>
      </c>
      <c r="W40" s="344"/>
    </row>
    <row r="41" spans="1:23" x14ac:dyDescent="0.25">
      <c r="A41" s="910" t="s">
        <v>79</v>
      </c>
      <c r="B41" s="911"/>
      <c r="C41" s="586">
        <f t="shared" ref="C41:J41" si="6">SUM(C33:C40)</f>
        <v>0</v>
      </c>
      <c r="D41" s="586">
        <f t="shared" si="6"/>
        <v>0</v>
      </c>
      <c r="E41" s="586">
        <f t="shared" si="6"/>
        <v>0</v>
      </c>
      <c r="F41" s="586">
        <f t="shared" si="6"/>
        <v>0</v>
      </c>
      <c r="G41" s="586">
        <f t="shared" si="6"/>
        <v>0</v>
      </c>
      <c r="H41" s="586">
        <f t="shared" si="6"/>
        <v>0</v>
      </c>
      <c r="I41" s="586">
        <f t="shared" si="6"/>
        <v>0</v>
      </c>
      <c r="J41" s="587">
        <f t="shared" si="6"/>
        <v>0</v>
      </c>
      <c r="K41" s="204"/>
      <c r="N41" s="425"/>
      <c r="O41" s="348"/>
      <c r="P41" s="349"/>
      <c r="T41" s="344"/>
      <c r="U41" s="344"/>
      <c r="V41" s="345"/>
      <c r="W41" s="344"/>
    </row>
    <row r="42" spans="1:23" x14ac:dyDescent="0.25">
      <c r="A42" s="910" t="s">
        <v>80</v>
      </c>
      <c r="B42" s="911"/>
      <c r="C42" s="586">
        <f>IF(SUM(C33:C41)=0,0,SUM(D34:D40)+SUM(E35:E40)+SUM(F36:F40)+SUM(G37:G40)+SUM(H38:H40)+SUM(I39:I40)+SUM(J40))</f>
        <v>0</v>
      </c>
      <c r="D42" s="586">
        <f>IF(SUM(D33:D41)=0,0,SUM(C33)+E33+SUM(E35:E40)+SUM(F36:F40)+F33+G33+SUM(G37:G40)+SUM(H38:H40)+H33+I33+SUM(I39:I40)+J33+J40)</f>
        <v>0</v>
      </c>
      <c r="E42" s="586">
        <f>IF(SUM(E33:E41)=0,0, SUM(C33:C34)+SUM(D34)+SUM(F33:F34)+SUM(F36:F40)+SUM(G33:G34)+SUM(G37:G40)+SUM(H33:H34)+SUM(H38:H40)+SUM(I33:I34)+SUM(I39:I40)+SUM(J33:J34)+J40)</f>
        <v>0</v>
      </c>
      <c r="F42" s="586">
        <f>IF(SUM(F33:F41)=0,0,SUM(C33:C35)+SUM(D34:D35)+SUM(E35)+SUM(G33:G35)+SUM(G37:G40)+SUM(H33:H35)+SUM(H38:H40)+SUM(I33:I35)+SUM(I39:I40)+SUM(J33:J35)+J40)</f>
        <v>0</v>
      </c>
      <c r="G42" s="586">
        <f>IF(SUM(G33:G41)=0,0,SUM(C33:C36)+SUM(D34:D36)+SUM(E35:E36)+SUM(F36)+SUM(H33:H36)+SUM(H38:H40)+SUM(I33:I36)+SUM(I39:I40)+SUM(J33:J36)+J40)</f>
        <v>0</v>
      </c>
      <c r="H42" s="586">
        <f>IF(SUM(H33:H41)=0,0,SUM(C33:C37)+SUM(D34:D37)+SUM(E35:E37)+SUM(F36:F37)+SUM(G37)+SUM(I33:I37)+SUM(I39:I40)+SUM(J33:J37)+J40)</f>
        <v>0</v>
      </c>
      <c r="I42" s="586">
        <f>IF(SUM(I33:I41)=0,0,SUM(C33:C38)+SUM(D34:D38)+SUM(E35:E38)+SUM(F36:F38)+SUM(G37:G38)+H38+SUM(J33:J38)+J40)</f>
        <v>0</v>
      </c>
      <c r="J42" s="587">
        <f>IF(SUM(J33:J41)=0,0,SUM(C33:C39)+SUM(D34:D39)+SUM(E35:E39)+SUM(F36:F39)+SUM(G37:G39)+SUM(H38:H39)+I39)</f>
        <v>0</v>
      </c>
      <c r="K42" s="204"/>
      <c r="T42" s="447"/>
      <c r="U42" s="447"/>
      <c r="V42" s="448"/>
      <c r="W42" s="447"/>
    </row>
    <row r="43" spans="1:23" x14ac:dyDescent="0.25">
      <c r="A43" s="580"/>
      <c r="B43" s="575"/>
      <c r="C43" s="575"/>
      <c r="D43" s="575"/>
      <c r="E43" s="575"/>
      <c r="F43" s="575"/>
      <c r="G43" s="575"/>
      <c r="H43" s="575"/>
      <c r="I43" s="575"/>
      <c r="J43" s="525"/>
      <c r="T43" s="447"/>
      <c r="U43" s="447" t="s">
        <v>238</v>
      </c>
      <c r="V43" s="447"/>
      <c r="W43" s="447"/>
    </row>
    <row r="44" spans="1:23" ht="15.75" hidden="1" thickBot="1" x14ac:dyDescent="0.3">
      <c r="A44" s="920" t="s">
        <v>94</v>
      </c>
      <c r="B44" s="921"/>
      <c r="C44" s="169" t="s">
        <v>262</v>
      </c>
      <c r="D44" s="836"/>
      <c r="E44" s="836"/>
      <c r="F44" s="836"/>
      <c r="G44" s="836"/>
      <c r="H44" s="836"/>
      <c r="I44" s="836"/>
      <c r="J44" s="604"/>
      <c r="U44" s="447" t="s">
        <v>239</v>
      </c>
    </row>
    <row r="45" spans="1:23" ht="15.75" hidden="1" thickTop="1" x14ac:dyDescent="0.25">
      <c r="A45" s="937" t="s">
        <v>130</v>
      </c>
      <c r="B45" s="938"/>
      <c r="C45" s="935" t="s">
        <v>261</v>
      </c>
      <c r="D45" s="936"/>
      <c r="E45" s="936"/>
      <c r="F45" s="575"/>
      <c r="G45" s="575"/>
      <c r="H45" s="575"/>
      <c r="I45" s="575"/>
      <c r="J45" s="526"/>
    </row>
    <row r="46" spans="1:23" hidden="1" x14ac:dyDescent="0.25">
      <c r="A46" s="580"/>
      <c r="B46" s="590"/>
      <c r="C46" s="590"/>
      <c r="D46" s="590"/>
      <c r="E46" s="590"/>
      <c r="F46" s="590"/>
      <c r="G46" s="590"/>
      <c r="H46" s="590"/>
      <c r="I46" s="590"/>
      <c r="J46" s="625"/>
    </row>
    <row r="47" spans="1:23" ht="36.75" customHeight="1" x14ac:dyDescent="0.25">
      <c r="A47" s="580"/>
      <c r="B47" s="575"/>
      <c r="C47" s="575"/>
      <c r="D47" s="575"/>
      <c r="E47" s="575"/>
      <c r="F47" s="575"/>
      <c r="G47" s="575"/>
      <c r="H47" s="575"/>
      <c r="I47" s="575"/>
      <c r="J47" s="579"/>
    </row>
    <row r="48" spans="1:23" ht="15.75" thickBot="1" x14ac:dyDescent="0.3">
      <c r="A48" s="941" t="s">
        <v>202</v>
      </c>
      <c r="B48" s="942"/>
      <c r="C48" s="942"/>
      <c r="D48" s="942"/>
      <c r="E48" s="942"/>
      <c r="F48" s="942"/>
      <c r="G48" s="942"/>
      <c r="H48" s="942"/>
      <c r="I48" s="942"/>
      <c r="J48" s="943"/>
      <c r="K48" s="593"/>
    </row>
    <row r="49" spans="1:27" ht="15.75" hidden="1" thickTop="1" x14ac:dyDescent="0.25">
      <c r="A49" s="944" t="s">
        <v>340</v>
      </c>
      <c r="B49" s="945"/>
      <c r="C49" s="829" t="s">
        <v>28</v>
      </c>
      <c r="D49" s="829" t="s">
        <v>29</v>
      </c>
      <c r="E49" s="829" t="s">
        <v>30</v>
      </c>
      <c r="F49" s="829" t="s">
        <v>31</v>
      </c>
      <c r="G49" s="829" t="s">
        <v>32</v>
      </c>
      <c r="H49" s="829" t="s">
        <v>33</v>
      </c>
      <c r="I49" s="829" t="s">
        <v>68</v>
      </c>
      <c r="J49" s="171" t="s">
        <v>35</v>
      </c>
    </row>
    <row r="50" spans="1:27" ht="15.75" hidden="1" thickTop="1" x14ac:dyDescent="0.25">
      <c r="A50" s="946" t="s">
        <v>334</v>
      </c>
      <c r="B50" s="947"/>
      <c r="C50" s="790" t="str">
        <f t="shared" ref="C50:J50" si="7">IF((COUNTBLANK(C13:C20)=8),"NA",(1103*EXP(-0.0009*C42))*C29*C30)</f>
        <v>NA</v>
      </c>
      <c r="D50" s="790" t="str">
        <f t="shared" si="7"/>
        <v>NA</v>
      </c>
      <c r="E50" s="790" t="str">
        <f t="shared" si="7"/>
        <v>NA</v>
      </c>
      <c r="F50" s="790" t="str">
        <f t="shared" si="7"/>
        <v>NA</v>
      </c>
      <c r="G50" s="790" t="str">
        <f t="shared" si="7"/>
        <v>NA</v>
      </c>
      <c r="H50" s="790" t="str">
        <f t="shared" si="7"/>
        <v>NA</v>
      </c>
      <c r="I50" s="790" t="str">
        <f t="shared" si="7"/>
        <v>NA</v>
      </c>
      <c r="J50" s="791" t="str">
        <f t="shared" si="7"/>
        <v>NA</v>
      </c>
    </row>
    <row r="51" spans="1:27" ht="14.25" hidden="1" customHeight="1" x14ac:dyDescent="0.25">
      <c r="A51" s="948" t="s">
        <v>335</v>
      </c>
      <c r="B51" s="949"/>
      <c r="C51" s="584" t="str">
        <f>IF(C50="NA","NA",C41*C29)</f>
        <v>NA</v>
      </c>
      <c r="D51" s="584" t="str">
        <f t="shared" ref="D51:J51" si="8">IF(D50="NA","NA",D41*D29)</f>
        <v>NA</v>
      </c>
      <c r="E51" s="584" t="str">
        <f>IF(E50="NA","NA",E41*E29)</f>
        <v>NA</v>
      </c>
      <c r="F51" s="584" t="str">
        <f t="shared" si="8"/>
        <v>NA</v>
      </c>
      <c r="G51" s="584" t="str">
        <f t="shared" si="8"/>
        <v>NA</v>
      </c>
      <c r="H51" s="584" t="str">
        <f t="shared" si="8"/>
        <v>NA</v>
      </c>
      <c r="I51" s="584" t="str">
        <f t="shared" si="8"/>
        <v>NA</v>
      </c>
      <c r="J51" s="585" t="str">
        <f t="shared" si="8"/>
        <v>NA</v>
      </c>
    </row>
    <row r="52" spans="1:27" ht="15.75" hidden="1" thickTop="1" x14ac:dyDescent="0.25">
      <c r="A52" s="939" t="s">
        <v>203</v>
      </c>
      <c r="B52" s="940"/>
      <c r="C52" s="180" t="e">
        <f t="shared" ref="C52:D52" si="9">C51/C50</f>
        <v>#VALUE!</v>
      </c>
      <c r="D52" s="180" t="e">
        <f t="shared" si="9"/>
        <v>#VALUE!</v>
      </c>
      <c r="E52" s="180" t="e">
        <f>E51/E50</f>
        <v>#VALUE!</v>
      </c>
      <c r="F52" s="180" t="e">
        <f t="shared" ref="F52:J52" si="10">F51/F50</f>
        <v>#VALUE!</v>
      </c>
      <c r="G52" s="180" t="e">
        <f t="shared" si="10"/>
        <v>#VALUE!</v>
      </c>
      <c r="H52" s="180" t="e">
        <f t="shared" si="10"/>
        <v>#VALUE!</v>
      </c>
      <c r="I52" s="180" t="e">
        <f t="shared" si="10"/>
        <v>#VALUE!</v>
      </c>
      <c r="J52" s="182" t="e">
        <f t="shared" si="10"/>
        <v>#VALUE!</v>
      </c>
    </row>
    <row r="53" spans="1:27" ht="15.75" hidden="1" thickTop="1" x14ac:dyDescent="0.25">
      <c r="A53" s="939" t="s">
        <v>311</v>
      </c>
      <c r="B53" s="940"/>
      <c r="C53" s="235" t="e">
        <f>3600/C50+900*0.25*(C52-1+SQRT((C52-1)^2+((3600/C50)*C52)/(450*0.25)))+(5*(MIN(C52,1)))</f>
        <v>#VALUE!</v>
      </c>
      <c r="D53" s="235" t="e">
        <f t="shared" ref="D53:J53" si="11">3600/D50+900*0.25*(D52-1+SQRT((D52-1)^2+((3600/D50)*D52)/(450*0.25)))+(5*(MIN(D52,1)))</f>
        <v>#VALUE!</v>
      </c>
      <c r="E53" s="235" t="e">
        <f t="shared" si="11"/>
        <v>#VALUE!</v>
      </c>
      <c r="F53" s="235" t="e">
        <f t="shared" si="11"/>
        <v>#VALUE!</v>
      </c>
      <c r="G53" s="235" t="e">
        <f t="shared" si="11"/>
        <v>#VALUE!</v>
      </c>
      <c r="H53" s="235" t="e">
        <f t="shared" si="11"/>
        <v>#VALUE!</v>
      </c>
      <c r="I53" s="235" t="e">
        <f t="shared" si="11"/>
        <v>#VALUE!</v>
      </c>
      <c r="J53" s="183" t="e">
        <f t="shared" si="11"/>
        <v>#VALUE!</v>
      </c>
      <c r="P53" s="595"/>
      <c r="Q53" s="595"/>
      <c r="R53" s="595"/>
      <c r="S53" s="595"/>
      <c r="T53" s="595"/>
      <c r="U53" s="595"/>
      <c r="V53" s="595"/>
      <c r="W53" s="398"/>
    </row>
    <row r="54" spans="1:27" ht="15.75" hidden="1" thickTop="1" x14ac:dyDescent="0.25">
      <c r="A54" s="948" t="s">
        <v>85</v>
      </c>
      <c r="B54" s="949"/>
      <c r="C54" s="588" t="e">
        <f t="shared" ref="C54:J54" si="12">VLOOKUP(C53,$V76:$W81,2,TRUE)</f>
        <v>#VALUE!</v>
      </c>
      <c r="D54" s="588" t="e">
        <f t="shared" si="12"/>
        <v>#VALUE!</v>
      </c>
      <c r="E54" s="588" t="e">
        <f t="shared" si="12"/>
        <v>#VALUE!</v>
      </c>
      <c r="F54" s="588" t="e">
        <f t="shared" si="12"/>
        <v>#VALUE!</v>
      </c>
      <c r="G54" s="588" t="e">
        <f t="shared" si="12"/>
        <v>#VALUE!</v>
      </c>
      <c r="H54" s="588" t="e">
        <f t="shared" si="12"/>
        <v>#VALUE!</v>
      </c>
      <c r="I54" s="588" t="e">
        <f t="shared" si="12"/>
        <v>#VALUE!</v>
      </c>
      <c r="J54" s="589" t="e">
        <f t="shared" si="12"/>
        <v>#VALUE!</v>
      </c>
      <c r="P54" s="595"/>
      <c r="Q54" s="595"/>
      <c r="R54" s="595"/>
      <c r="S54" s="595"/>
      <c r="T54" s="595"/>
      <c r="U54" s="595"/>
      <c r="V54" s="595"/>
      <c r="W54" s="596"/>
    </row>
    <row r="55" spans="1:27" ht="15.75" hidden="1" thickTop="1" x14ac:dyDescent="0.25">
      <c r="A55" s="830"/>
      <c r="B55" s="830" t="s">
        <v>180</v>
      </c>
      <c r="C55" s="588" t="e">
        <f t="shared" ref="C55:J55" si="13">VLOOKUP(C53,$V83:$W89,2,TRUE)</f>
        <v>#VALUE!</v>
      </c>
      <c r="D55" s="588" t="e">
        <f t="shared" si="13"/>
        <v>#VALUE!</v>
      </c>
      <c r="E55" s="588" t="e">
        <f t="shared" si="13"/>
        <v>#VALUE!</v>
      </c>
      <c r="F55" s="588" t="e">
        <f t="shared" si="13"/>
        <v>#VALUE!</v>
      </c>
      <c r="G55" s="588" t="e">
        <f t="shared" si="13"/>
        <v>#VALUE!</v>
      </c>
      <c r="H55" s="588" t="e">
        <f t="shared" si="13"/>
        <v>#VALUE!</v>
      </c>
      <c r="I55" s="588" t="e">
        <f t="shared" si="13"/>
        <v>#VALUE!</v>
      </c>
      <c r="J55" s="589" t="e">
        <f t="shared" si="13"/>
        <v>#VALUE!</v>
      </c>
      <c r="K55" s="593"/>
      <c r="P55" s="595"/>
      <c r="Q55" s="595"/>
      <c r="R55" s="595"/>
      <c r="S55" s="595"/>
      <c r="T55" s="595"/>
      <c r="U55" s="595"/>
      <c r="V55" s="595"/>
      <c r="W55" s="596"/>
    </row>
    <row r="56" spans="1:27" s="223" customFormat="1" ht="15" hidden="1" customHeight="1" x14ac:dyDescent="0.25">
      <c r="A56" s="837"/>
      <c r="B56" s="837" t="s">
        <v>212</v>
      </c>
      <c r="C56" s="226" t="e">
        <f>""&amp;C54&amp;" / "&amp;C55&amp;"*"</f>
        <v>#VALUE!</v>
      </c>
      <c r="D56" s="226" t="e">
        <f>""&amp;D54&amp;" / "&amp;D55&amp;"*"</f>
        <v>#VALUE!</v>
      </c>
      <c r="E56" s="226" t="e">
        <f t="shared" ref="E56:J56" si="14">""&amp;E54&amp;" / "&amp;E55&amp;"*"</f>
        <v>#VALUE!</v>
      </c>
      <c r="F56" s="226" t="e">
        <f t="shared" si="14"/>
        <v>#VALUE!</v>
      </c>
      <c r="G56" s="226" t="e">
        <f t="shared" si="14"/>
        <v>#VALUE!</v>
      </c>
      <c r="H56" s="226" t="e">
        <f t="shared" si="14"/>
        <v>#VALUE!</v>
      </c>
      <c r="I56" s="226" t="e">
        <f t="shared" si="14"/>
        <v>#VALUE!</v>
      </c>
      <c r="J56" s="230" t="e">
        <f t="shared" si="14"/>
        <v>#VALUE!</v>
      </c>
      <c r="K56" s="219"/>
      <c r="L56" s="220"/>
      <c r="M56" s="220"/>
      <c r="N56" s="220"/>
      <c r="O56" s="220"/>
      <c r="P56" s="221"/>
      <c r="Q56" s="221"/>
      <c r="R56" s="221"/>
      <c r="S56" s="221"/>
      <c r="T56" s="221"/>
      <c r="U56" s="221"/>
      <c r="V56" s="221"/>
      <c r="W56" s="222"/>
      <c r="X56" s="220"/>
      <c r="Y56" s="220"/>
      <c r="Z56" s="220"/>
      <c r="AA56" s="220"/>
    </row>
    <row r="57" spans="1:27" ht="15.75" hidden="1" thickTop="1" x14ac:dyDescent="0.25">
      <c r="A57" s="830"/>
      <c r="B57" s="174" t="s">
        <v>10</v>
      </c>
      <c r="C57" s="597" t="e">
        <f>225*(C52-1+SQRT((1-C52)^2+((3600/C50)*C52/37.5)))*(C50/3600)</f>
        <v>#VALUE!</v>
      </c>
      <c r="D57" s="597" t="e">
        <f t="shared" ref="D57:J57" si="15">225*(D52-1+SQRT((1-D52)^2+((3600/D50)*D52/37.5)))*(D50/3600)</f>
        <v>#VALUE!</v>
      </c>
      <c r="E57" s="597" t="e">
        <f t="shared" si="15"/>
        <v>#VALUE!</v>
      </c>
      <c r="F57" s="597" t="e">
        <f t="shared" si="15"/>
        <v>#VALUE!</v>
      </c>
      <c r="G57" s="597" t="e">
        <f t="shared" si="15"/>
        <v>#VALUE!</v>
      </c>
      <c r="H57" s="597" t="e">
        <f t="shared" si="15"/>
        <v>#VALUE!</v>
      </c>
      <c r="I57" s="597" t="e">
        <f t="shared" si="15"/>
        <v>#VALUE!</v>
      </c>
      <c r="J57" s="607" t="e">
        <f t="shared" si="15"/>
        <v>#VALUE!</v>
      </c>
      <c r="P57" s="595"/>
      <c r="Q57" s="595"/>
      <c r="R57" s="595"/>
      <c r="S57" s="595"/>
      <c r="T57" s="595"/>
      <c r="U57" s="595"/>
      <c r="V57" s="595"/>
      <c r="W57" s="596"/>
    </row>
    <row r="58" spans="1:27" ht="15.75" hidden="1" thickTop="1" x14ac:dyDescent="0.25">
      <c r="A58" s="939" t="s">
        <v>138</v>
      </c>
      <c r="B58" s="940"/>
      <c r="C58" s="235" t="e">
        <f t="shared" ref="C58:J58" si="16">(C57*($P$28/C29))</f>
        <v>#VALUE!</v>
      </c>
      <c r="D58" s="235" t="e">
        <f t="shared" si="16"/>
        <v>#VALUE!</v>
      </c>
      <c r="E58" s="235" t="e">
        <f t="shared" si="16"/>
        <v>#VALUE!</v>
      </c>
      <c r="F58" s="235" t="e">
        <f t="shared" si="16"/>
        <v>#VALUE!</v>
      </c>
      <c r="G58" s="235" t="e">
        <f t="shared" si="16"/>
        <v>#VALUE!</v>
      </c>
      <c r="H58" s="235" t="e">
        <f t="shared" si="16"/>
        <v>#VALUE!</v>
      </c>
      <c r="I58" s="235" t="e">
        <f t="shared" si="16"/>
        <v>#VALUE!</v>
      </c>
      <c r="J58" s="183" t="e">
        <f t="shared" si="16"/>
        <v>#VALUE!</v>
      </c>
      <c r="P58" s="595"/>
      <c r="Q58" s="595"/>
      <c r="R58" s="595"/>
      <c r="S58" s="595"/>
      <c r="T58" s="595"/>
      <c r="U58" s="595"/>
      <c r="V58" s="595"/>
      <c r="W58" s="596"/>
    </row>
    <row r="59" spans="1:27" ht="15.75" thickTop="1" x14ac:dyDescent="0.25">
      <c r="A59" s="950" t="s">
        <v>345</v>
      </c>
      <c r="B59" s="951"/>
      <c r="C59" s="832" t="s">
        <v>28</v>
      </c>
      <c r="D59" s="832" t="s">
        <v>29</v>
      </c>
      <c r="E59" s="832" t="s">
        <v>30</v>
      </c>
      <c r="F59" s="832" t="s">
        <v>31</v>
      </c>
      <c r="G59" s="832" t="s">
        <v>32</v>
      </c>
      <c r="H59" s="832" t="s">
        <v>33</v>
      </c>
      <c r="I59" s="832" t="s">
        <v>68</v>
      </c>
      <c r="J59" s="172" t="s">
        <v>35</v>
      </c>
      <c r="K59" s="593"/>
      <c r="P59" s="595"/>
      <c r="Q59" s="595"/>
      <c r="R59" s="595"/>
      <c r="S59" s="595"/>
      <c r="T59" s="595"/>
      <c r="U59" s="595"/>
      <c r="V59" s="595"/>
      <c r="W59" s="596"/>
    </row>
    <row r="60" spans="1:27" x14ac:dyDescent="0.25">
      <c r="A60" s="948" t="s">
        <v>334</v>
      </c>
      <c r="B60" s="949"/>
      <c r="C60" s="584" t="str">
        <f t="shared" ref="C60:J60" si="17">IF((COUNTBLANK(C13:C20)=8),"NA",(1130*EXP(-0.001*C42))*C29*C30)</f>
        <v>NA</v>
      </c>
      <c r="D60" s="584" t="str">
        <f t="shared" si="17"/>
        <v>NA</v>
      </c>
      <c r="E60" s="584" t="str">
        <f t="shared" si="17"/>
        <v>NA</v>
      </c>
      <c r="F60" s="584" t="str">
        <f t="shared" si="17"/>
        <v>NA</v>
      </c>
      <c r="G60" s="584" t="str">
        <f t="shared" si="17"/>
        <v>NA</v>
      </c>
      <c r="H60" s="584" t="str">
        <f t="shared" si="17"/>
        <v>NA</v>
      </c>
      <c r="I60" s="584" t="str">
        <f t="shared" si="17"/>
        <v>NA</v>
      </c>
      <c r="J60" s="585" t="str">
        <f t="shared" si="17"/>
        <v>NA</v>
      </c>
      <c r="K60" s="593"/>
      <c r="P60" s="595"/>
      <c r="Q60" s="595"/>
      <c r="R60" s="595"/>
      <c r="S60" s="595"/>
      <c r="T60" s="595"/>
      <c r="U60" s="595"/>
      <c r="V60" s="595"/>
      <c r="W60" s="596"/>
    </row>
    <row r="61" spans="1:27" ht="15" customHeight="1" x14ac:dyDescent="0.25">
      <c r="A61" s="948" t="s">
        <v>335</v>
      </c>
      <c r="B61" s="949"/>
      <c r="C61" s="584">
        <f>IF(C60="NA",,C41*C29)</f>
        <v>0</v>
      </c>
      <c r="D61" s="584">
        <f t="shared" ref="D61:J61" si="18">IF(D60="NA",,D41*D29)</f>
        <v>0</v>
      </c>
      <c r="E61" s="584">
        <f t="shared" si="18"/>
        <v>0</v>
      </c>
      <c r="F61" s="584">
        <f t="shared" si="18"/>
        <v>0</v>
      </c>
      <c r="G61" s="584">
        <f t="shared" si="18"/>
        <v>0</v>
      </c>
      <c r="H61" s="584">
        <f t="shared" si="18"/>
        <v>0</v>
      </c>
      <c r="I61" s="584">
        <f t="shared" si="18"/>
        <v>0</v>
      </c>
      <c r="J61" s="587">
        <f t="shared" si="18"/>
        <v>0</v>
      </c>
      <c r="K61" s="593"/>
      <c r="P61" s="595"/>
      <c r="Q61" s="595"/>
      <c r="R61" s="595"/>
      <c r="S61" s="595"/>
      <c r="T61" s="595"/>
      <c r="U61" s="595"/>
      <c r="V61" s="595"/>
      <c r="W61" s="596"/>
    </row>
    <row r="62" spans="1:27" x14ac:dyDescent="0.25">
      <c r="A62" s="939" t="s">
        <v>203</v>
      </c>
      <c r="B62" s="940"/>
      <c r="C62" s="180">
        <f>IF(C60="NA",,C61/C60)</f>
        <v>0</v>
      </c>
      <c r="D62" s="180">
        <f t="shared" ref="D62:J62" si="19">IF(D60="NA",,D61/D60)</f>
        <v>0</v>
      </c>
      <c r="E62" s="180">
        <f t="shared" si="19"/>
        <v>0</v>
      </c>
      <c r="F62" s="180">
        <f t="shared" si="19"/>
        <v>0</v>
      </c>
      <c r="G62" s="180">
        <f t="shared" si="19"/>
        <v>0</v>
      </c>
      <c r="H62" s="180">
        <f t="shared" si="19"/>
        <v>0</v>
      </c>
      <c r="I62" s="180">
        <f t="shared" si="19"/>
        <v>0</v>
      </c>
      <c r="J62" s="182">
        <f t="shared" si="19"/>
        <v>0</v>
      </c>
      <c r="K62" s="593"/>
      <c r="P62" s="595"/>
      <c r="Q62" s="595"/>
      <c r="R62" s="595"/>
      <c r="S62" s="595"/>
      <c r="T62" s="595"/>
      <c r="U62" s="595"/>
      <c r="V62" s="595"/>
      <c r="W62" s="596"/>
    </row>
    <row r="63" spans="1:27" s="591" customFormat="1" x14ac:dyDescent="0.25">
      <c r="A63" s="939" t="s">
        <v>204</v>
      </c>
      <c r="B63" s="940"/>
      <c r="C63" s="706">
        <f>IFERROR(3600/C60+225*(C62-1+SQRT((C62-1)^2+((3600/C60)*C62/112.5)))+(5*(MIN(C62,1))),)</f>
        <v>0</v>
      </c>
      <c r="D63" s="706">
        <f t="shared" ref="D63:J63" si="20">IFERROR(3600/D60+225*(D62-1+SQRT((D62-1)^2+((3600/D60)*D62/112.5)))+(5*(MIN(D62,1))),)</f>
        <v>0</v>
      </c>
      <c r="E63" s="706">
        <f t="shared" si="20"/>
        <v>0</v>
      </c>
      <c r="F63" s="706">
        <f t="shared" si="20"/>
        <v>0</v>
      </c>
      <c r="G63" s="706">
        <f t="shared" si="20"/>
        <v>0</v>
      </c>
      <c r="H63" s="706">
        <f t="shared" si="20"/>
        <v>0</v>
      </c>
      <c r="I63" s="706">
        <f t="shared" si="20"/>
        <v>0</v>
      </c>
      <c r="J63" s="864">
        <f t="shared" si="20"/>
        <v>0</v>
      </c>
      <c r="K63" s="593"/>
      <c r="P63" s="595"/>
      <c r="Q63" s="595"/>
      <c r="R63" s="595"/>
      <c r="S63" s="595"/>
      <c r="T63" s="595"/>
      <c r="U63" s="595"/>
      <c r="V63" s="595"/>
      <c r="W63" s="596"/>
    </row>
    <row r="64" spans="1:27" s="220" customFormat="1" ht="15" customHeight="1" x14ac:dyDescent="0.25">
      <c r="A64" s="952" t="s">
        <v>85</v>
      </c>
      <c r="B64" s="953"/>
      <c r="C64" s="226" t="e">
        <f t="shared" ref="C64:J64" si="21">VLOOKUP(C63,$V76:$W81,2,TRUE)</f>
        <v>#N/A</v>
      </c>
      <c r="D64" s="226" t="e">
        <f t="shared" si="21"/>
        <v>#N/A</v>
      </c>
      <c r="E64" s="226" t="e">
        <f t="shared" si="21"/>
        <v>#N/A</v>
      </c>
      <c r="F64" s="226" t="e">
        <f t="shared" si="21"/>
        <v>#N/A</v>
      </c>
      <c r="G64" s="226" t="e">
        <f t="shared" si="21"/>
        <v>#N/A</v>
      </c>
      <c r="H64" s="226" t="e">
        <f t="shared" si="21"/>
        <v>#N/A</v>
      </c>
      <c r="I64" s="226" t="e">
        <f t="shared" si="21"/>
        <v>#N/A</v>
      </c>
      <c r="J64" s="230" t="e">
        <f t="shared" si="21"/>
        <v>#N/A</v>
      </c>
      <c r="K64" s="219"/>
      <c r="P64" s="221"/>
      <c r="Q64" s="221"/>
      <c r="R64" s="221"/>
      <c r="S64" s="221"/>
      <c r="T64" s="221"/>
      <c r="U64" s="221"/>
      <c r="V64" s="221"/>
      <c r="W64" s="222"/>
    </row>
    <row r="65" spans="1:23" s="220" customFormat="1" ht="15" hidden="1" customHeight="1" x14ac:dyDescent="0.25">
      <c r="A65" s="867"/>
      <c r="B65" s="868" t="s">
        <v>356</v>
      </c>
      <c r="C65" s="860">
        <f>C61*C63/3600</f>
        <v>0</v>
      </c>
      <c r="D65" s="860">
        <f t="shared" ref="D65:J65" si="22">D61*D63/3600</f>
        <v>0</v>
      </c>
      <c r="E65" s="860">
        <f t="shared" si="22"/>
        <v>0</v>
      </c>
      <c r="F65" s="860">
        <f t="shared" si="22"/>
        <v>0</v>
      </c>
      <c r="G65" s="860">
        <f t="shared" si="22"/>
        <v>0</v>
      </c>
      <c r="H65" s="860">
        <f t="shared" si="22"/>
        <v>0</v>
      </c>
      <c r="I65" s="860">
        <f t="shared" si="22"/>
        <v>0</v>
      </c>
      <c r="J65" s="861">
        <f t="shared" si="22"/>
        <v>0</v>
      </c>
      <c r="K65" s="219"/>
      <c r="P65" s="865"/>
      <c r="Q65" s="865"/>
      <c r="R65" s="865"/>
      <c r="S65" s="865"/>
      <c r="T65" s="865"/>
      <c r="U65" s="865"/>
      <c r="V65" s="865"/>
      <c r="W65" s="222"/>
    </row>
    <row r="66" spans="1:23" s="591" customFormat="1" hidden="1" x14ac:dyDescent="0.25">
      <c r="A66" s="813"/>
      <c r="B66" s="174" t="s">
        <v>10</v>
      </c>
      <c r="C66" s="597" t="e">
        <f>225*(C62-1+SQRT((1-C62)^2+((3600/C60)*C62/37.5)))*(C60/3600)</f>
        <v>#VALUE!</v>
      </c>
      <c r="D66" s="597" t="e">
        <f t="shared" ref="D66:J66" si="23">225*(D62-1+SQRT((1-D62)^2+((3600/D60)*D62/37.5)))*(D60/3600)</f>
        <v>#VALUE!</v>
      </c>
      <c r="E66" s="597" t="e">
        <f>225*(E62-1+SQRT((1-E62)^2+((3600/E60)*E62/37.5)))*(E60/3600)</f>
        <v>#VALUE!</v>
      </c>
      <c r="F66" s="597" t="e">
        <f t="shared" si="23"/>
        <v>#VALUE!</v>
      </c>
      <c r="G66" s="597" t="e">
        <f t="shared" si="23"/>
        <v>#VALUE!</v>
      </c>
      <c r="H66" s="597" t="e">
        <f t="shared" si="23"/>
        <v>#VALUE!</v>
      </c>
      <c r="I66" s="597" t="e">
        <f t="shared" si="23"/>
        <v>#VALUE!</v>
      </c>
      <c r="J66" s="607" t="e">
        <f t="shared" si="23"/>
        <v>#VALUE!</v>
      </c>
      <c r="K66" s="593"/>
      <c r="P66" s="595"/>
      <c r="Q66" s="595"/>
      <c r="R66" s="595"/>
      <c r="S66" s="595"/>
      <c r="T66" s="595"/>
      <c r="U66" s="595"/>
      <c r="V66" s="595"/>
      <c r="W66" s="596"/>
    </row>
    <row r="67" spans="1:23" s="591" customFormat="1" x14ac:dyDescent="0.25">
      <c r="A67" s="939" t="s">
        <v>354</v>
      </c>
      <c r="B67" s="940"/>
      <c r="C67" s="586">
        <f>ROUND(C65*$P$28,)</f>
        <v>0</v>
      </c>
      <c r="D67" s="586">
        <f t="shared" ref="D67:J67" si="24">ROUND(D65*$P$28,)</f>
        <v>0</v>
      </c>
      <c r="E67" s="586">
        <f t="shared" si="24"/>
        <v>0</v>
      </c>
      <c r="F67" s="586">
        <f t="shared" si="24"/>
        <v>0</v>
      </c>
      <c r="G67" s="586">
        <f t="shared" si="24"/>
        <v>0</v>
      </c>
      <c r="H67" s="586">
        <f t="shared" si="24"/>
        <v>0</v>
      </c>
      <c r="I67" s="586">
        <f t="shared" si="24"/>
        <v>0</v>
      </c>
      <c r="J67" s="861">
        <f t="shared" si="24"/>
        <v>0</v>
      </c>
      <c r="K67" s="593"/>
      <c r="P67" s="595"/>
      <c r="Q67" s="595"/>
      <c r="R67" s="595"/>
      <c r="S67" s="595"/>
      <c r="T67" s="595"/>
      <c r="U67" s="595"/>
      <c r="V67" s="595"/>
      <c r="W67" s="596"/>
    </row>
    <row r="68" spans="1:23" s="591" customFormat="1" x14ac:dyDescent="0.25">
      <c r="A68" s="939" t="s">
        <v>138</v>
      </c>
      <c r="B68" s="940"/>
      <c r="C68" s="235" t="e">
        <f t="shared" ref="C68:J68" si="25">(C66*($P$28/C29))</f>
        <v>#VALUE!</v>
      </c>
      <c r="D68" s="235" t="e">
        <f t="shared" si="25"/>
        <v>#VALUE!</v>
      </c>
      <c r="E68" s="235" t="e">
        <f t="shared" si="25"/>
        <v>#VALUE!</v>
      </c>
      <c r="F68" s="235" t="e">
        <f t="shared" si="25"/>
        <v>#VALUE!</v>
      </c>
      <c r="G68" s="235" t="e">
        <f t="shared" si="25"/>
        <v>#VALUE!</v>
      </c>
      <c r="H68" s="235" t="e">
        <f t="shared" si="25"/>
        <v>#VALUE!</v>
      </c>
      <c r="I68" s="235" t="e">
        <f t="shared" si="25"/>
        <v>#VALUE!</v>
      </c>
      <c r="J68" s="183" t="e">
        <f t="shared" si="25"/>
        <v>#VALUE!</v>
      </c>
      <c r="P68" s="595"/>
      <c r="Q68" s="595"/>
      <c r="R68" s="595"/>
      <c r="S68" s="595"/>
      <c r="T68" s="595"/>
      <c r="U68" s="595"/>
      <c r="V68" s="595"/>
      <c r="W68" s="596"/>
    </row>
    <row r="69" spans="1:23" s="591" customFormat="1" ht="4.9000000000000004" customHeight="1" x14ac:dyDescent="0.25">
      <c r="A69" s="866"/>
      <c r="B69" s="869"/>
      <c r="C69" s="874"/>
      <c r="D69" s="238"/>
      <c r="E69" s="238"/>
      <c r="F69" s="238"/>
      <c r="G69" s="238"/>
      <c r="H69" s="238"/>
      <c r="I69" s="238"/>
      <c r="J69" s="859"/>
      <c r="P69" s="595"/>
      <c r="Q69" s="595"/>
      <c r="R69" s="595"/>
      <c r="S69" s="595"/>
      <c r="T69" s="595"/>
      <c r="U69" s="595"/>
      <c r="V69" s="595"/>
      <c r="W69" s="596"/>
    </row>
    <row r="70" spans="1:23" s="591" customFormat="1" ht="15.75" thickBot="1" x14ac:dyDescent="0.3">
      <c r="A70" s="941" t="s">
        <v>357</v>
      </c>
      <c r="B70" s="942"/>
      <c r="C70" s="942"/>
      <c r="D70" s="942"/>
      <c r="E70" s="942"/>
      <c r="F70" s="942"/>
      <c r="G70" s="942"/>
      <c r="H70" s="942"/>
      <c r="I70" s="942"/>
      <c r="J70" s="943"/>
      <c r="P70" s="595"/>
      <c r="Q70" s="595"/>
      <c r="R70" s="595"/>
      <c r="S70" s="595"/>
      <c r="T70" s="595"/>
      <c r="U70" s="595"/>
      <c r="V70" s="595"/>
      <c r="W70" s="596"/>
    </row>
    <row r="71" spans="1:23" s="591" customFormat="1" ht="15.75" thickTop="1" x14ac:dyDescent="0.25">
      <c r="A71" s="866" t="s">
        <v>355</v>
      </c>
      <c r="B71" s="862"/>
      <c r="C71" s="957" t="e">
        <f>SUMPRODUCT(C61:J61,C63:J63)/SUM(C61:J61)</f>
        <v>#DIV/0!</v>
      </c>
      <c r="D71" s="958"/>
      <c r="E71" s="871" t="s">
        <v>358</v>
      </c>
      <c r="F71" s="959" t="e">
        <f>VLOOKUP(C71,$V75:$W80,2,TRUE)</f>
        <v>#DIV/0!</v>
      </c>
      <c r="G71" s="960"/>
      <c r="H71" s="871" t="s">
        <v>359</v>
      </c>
      <c r="I71" s="872"/>
      <c r="J71" s="877">
        <f>MAXA(C62,D62,E62,F62,G62,H62,I62,J62)</f>
        <v>0</v>
      </c>
      <c r="P71" s="595"/>
      <c r="Q71" s="595"/>
      <c r="R71" s="595"/>
      <c r="S71" s="595"/>
      <c r="T71" s="595"/>
      <c r="U71" s="595"/>
      <c r="V71" s="595"/>
      <c r="W71" s="596"/>
    </row>
    <row r="72" spans="1:23" s="591" customFormat="1" ht="4.9000000000000004" customHeight="1" x14ac:dyDescent="0.25">
      <c r="A72" s="961"/>
      <c r="B72" s="962"/>
      <c r="C72" s="471"/>
      <c r="D72" s="574"/>
      <c r="E72" s="574"/>
      <c r="F72" s="727"/>
      <c r="G72" s="727"/>
      <c r="H72" s="727"/>
      <c r="I72" s="727"/>
      <c r="J72" s="859"/>
      <c r="P72" s="595"/>
      <c r="Q72" s="595"/>
      <c r="R72" s="595"/>
      <c r="S72" s="595"/>
      <c r="T72" s="595"/>
      <c r="U72" s="595"/>
    </row>
    <row r="73" spans="1:23" s="591" customFormat="1" ht="15" customHeight="1" x14ac:dyDescent="0.25">
      <c r="A73" s="954" t="s">
        <v>149</v>
      </c>
      <c r="B73" s="954"/>
      <c r="C73" s="875"/>
      <c r="D73" s="876"/>
      <c r="E73" s="727"/>
      <c r="F73" s="727"/>
      <c r="G73" s="727"/>
      <c r="H73" s="727"/>
      <c r="I73" s="727"/>
      <c r="J73" s="814" t="str">
        <f>'START HERE'!H2</f>
        <v>v 4.2</v>
      </c>
      <c r="P73" s="595"/>
      <c r="Q73" s="595"/>
      <c r="R73" s="595"/>
      <c r="S73" s="595"/>
      <c r="T73" s="595"/>
      <c r="U73" s="595"/>
    </row>
    <row r="74" spans="1:23" s="591" customFormat="1" ht="15" customHeight="1" x14ac:dyDescent="0.25">
      <c r="A74" s="815"/>
      <c r="B74" s="410"/>
      <c r="C74" s="462"/>
      <c r="D74" s="727"/>
      <c r="E74" s="727"/>
      <c r="F74" s="727"/>
      <c r="G74" s="727"/>
      <c r="H74" s="727"/>
      <c r="I74" s="727"/>
      <c r="J74" s="660"/>
      <c r="P74" s="595"/>
      <c r="Q74" s="595"/>
      <c r="R74" s="595"/>
      <c r="S74" s="595"/>
      <c r="T74" s="595"/>
      <c r="U74" s="595"/>
      <c r="V74" s="392" t="s">
        <v>83</v>
      </c>
      <c r="W74" s="392"/>
    </row>
    <row r="75" spans="1:23" s="591" customFormat="1" ht="15" customHeight="1" x14ac:dyDescent="0.25">
      <c r="A75" s="645"/>
      <c r="B75" s="727"/>
      <c r="C75" s="727"/>
      <c r="D75" s="727"/>
      <c r="E75" s="727"/>
      <c r="F75" s="727"/>
      <c r="G75" s="727"/>
      <c r="H75" s="727"/>
      <c r="I75" s="727"/>
      <c r="J75" s="660"/>
      <c r="K75" s="593"/>
      <c r="P75" s="595"/>
      <c r="Q75" s="595"/>
      <c r="R75" s="595"/>
      <c r="S75" s="595"/>
      <c r="T75" s="595"/>
      <c r="U75" s="595"/>
      <c r="V75" s="594" t="s">
        <v>84</v>
      </c>
      <c r="W75" s="594" t="s">
        <v>181</v>
      </c>
    </row>
    <row r="76" spans="1:23" s="591" customFormat="1" ht="15.75" customHeight="1" x14ac:dyDescent="0.25">
      <c r="A76" s="645"/>
      <c r="B76" s="727"/>
      <c r="C76" s="727"/>
      <c r="D76" s="727"/>
      <c r="E76" s="727"/>
      <c r="F76" s="727"/>
      <c r="G76" s="727"/>
      <c r="H76" s="727"/>
      <c r="I76" s="727"/>
      <c r="J76" s="660"/>
      <c r="P76" s="595"/>
      <c r="Q76" s="595"/>
      <c r="R76" s="595"/>
      <c r="S76" s="595"/>
      <c r="T76" s="595"/>
      <c r="U76" s="595"/>
      <c r="V76" s="594">
        <v>0.01</v>
      </c>
      <c r="W76" s="594" t="s">
        <v>86</v>
      </c>
    </row>
    <row r="77" spans="1:23" s="591" customFormat="1" x14ac:dyDescent="0.25">
      <c r="A77" s="645"/>
      <c r="B77" s="727"/>
      <c r="C77" s="727"/>
      <c r="D77" s="727"/>
      <c r="E77" s="727"/>
      <c r="F77" s="727"/>
      <c r="G77" s="727"/>
      <c r="H77" s="810" t="s">
        <v>205</v>
      </c>
      <c r="I77" s="727"/>
      <c r="J77" s="660"/>
      <c r="P77" s="595"/>
      <c r="Q77" s="595"/>
      <c r="R77" s="595"/>
      <c r="S77" s="595"/>
      <c r="T77" s="595"/>
      <c r="U77" s="595"/>
      <c r="V77" s="594">
        <v>10</v>
      </c>
      <c r="W77" s="594" t="s">
        <v>87</v>
      </c>
    </row>
    <row r="78" spans="1:23" s="591" customFormat="1" x14ac:dyDescent="0.25">
      <c r="A78" s="645"/>
      <c r="B78" s="727"/>
      <c r="C78" s="727"/>
      <c r="D78" s="727"/>
      <c r="E78" s="727"/>
      <c r="F78" s="727"/>
      <c r="G78" s="727"/>
      <c r="H78" s="727" t="s">
        <v>206</v>
      </c>
      <c r="I78" s="727"/>
      <c r="J78" s="660"/>
      <c r="P78" s="595"/>
      <c r="Q78" s="595"/>
      <c r="R78" s="595"/>
      <c r="S78" s="595"/>
      <c r="T78" s="595"/>
      <c r="U78" s="595"/>
      <c r="V78" s="594">
        <v>15</v>
      </c>
      <c r="W78" s="594" t="s">
        <v>88</v>
      </c>
    </row>
    <row r="79" spans="1:23" s="591" customFormat="1" x14ac:dyDescent="0.25">
      <c r="A79" s="645"/>
      <c r="B79" s="727"/>
      <c r="C79" s="727"/>
      <c r="D79" s="727"/>
      <c r="E79" s="727"/>
      <c r="F79" s="727"/>
      <c r="G79" s="727"/>
      <c r="H79" s="727" t="s">
        <v>207</v>
      </c>
      <c r="I79" s="727"/>
      <c r="J79" s="660"/>
      <c r="P79" s="595"/>
      <c r="Q79" s="595"/>
      <c r="R79" s="595"/>
      <c r="S79" s="595"/>
      <c r="T79" s="595"/>
      <c r="U79" s="595"/>
      <c r="V79" s="594">
        <v>25</v>
      </c>
      <c r="W79" s="594" t="s">
        <v>47</v>
      </c>
    </row>
    <row r="80" spans="1:23" s="591" customFormat="1" ht="18" x14ac:dyDescent="0.35">
      <c r="A80" s="645"/>
      <c r="B80" s="727"/>
      <c r="C80" s="727"/>
      <c r="D80" s="727"/>
      <c r="E80" s="727"/>
      <c r="F80" s="727"/>
      <c r="G80" s="727"/>
      <c r="H80" s="462" t="s">
        <v>208</v>
      </c>
      <c r="I80" s="727"/>
      <c r="J80" s="660"/>
      <c r="P80" s="595"/>
      <c r="Q80" s="595"/>
      <c r="R80" s="595"/>
      <c r="S80" s="595"/>
      <c r="T80" s="595"/>
      <c r="U80" s="595"/>
      <c r="V80" s="594">
        <v>35</v>
      </c>
      <c r="W80" s="594" t="s">
        <v>30</v>
      </c>
    </row>
    <row r="81" spans="1:23" s="591" customFormat="1" x14ac:dyDescent="0.25">
      <c r="A81" s="645"/>
      <c r="B81" s="727"/>
      <c r="C81" s="727"/>
      <c r="D81" s="727"/>
      <c r="E81" s="727"/>
      <c r="F81" s="727"/>
      <c r="G81" s="727"/>
      <c r="H81" s="727" t="s">
        <v>209</v>
      </c>
      <c r="I81" s="727"/>
      <c r="J81" s="660"/>
      <c r="P81" s="595"/>
      <c r="Q81" s="595"/>
      <c r="R81" s="595"/>
      <c r="S81" s="595"/>
      <c r="T81" s="595"/>
      <c r="U81" s="595"/>
      <c r="V81" s="594">
        <v>50</v>
      </c>
      <c r="W81" s="594" t="s">
        <v>66</v>
      </c>
    </row>
    <row r="82" spans="1:23" s="591" customFormat="1" hidden="1" x14ac:dyDescent="0.25">
      <c r="A82" s="605"/>
      <c r="B82" s="727"/>
      <c r="C82" s="727"/>
      <c r="D82" s="727"/>
      <c r="E82" s="727"/>
      <c r="F82" s="727"/>
      <c r="G82" s="727"/>
      <c r="H82" s="727"/>
      <c r="I82" s="727"/>
      <c r="J82" s="660"/>
      <c r="P82" s="595"/>
      <c r="Q82" s="595"/>
      <c r="R82" s="595"/>
      <c r="S82" s="595"/>
      <c r="T82" s="595"/>
      <c r="U82" s="595"/>
      <c r="V82" s="326" t="s">
        <v>84</v>
      </c>
      <c r="W82" s="326" t="s">
        <v>182</v>
      </c>
    </row>
    <row r="83" spans="1:23" s="591" customFormat="1" ht="15.75" thickBot="1" x14ac:dyDescent="0.3">
      <c r="A83" s="266" t="s">
        <v>216</v>
      </c>
      <c r="B83" s="266"/>
      <c r="C83" s="267"/>
      <c r="D83" s="267"/>
      <c r="E83" s="267"/>
      <c r="F83" s="267"/>
      <c r="G83" s="267"/>
      <c r="H83" s="267"/>
      <c r="I83" s="267"/>
      <c r="J83" s="268"/>
      <c r="P83" s="595"/>
      <c r="Q83" s="595"/>
      <c r="R83" s="595"/>
      <c r="S83" s="595"/>
      <c r="T83" s="595"/>
      <c r="U83" s="595"/>
      <c r="V83" s="594" t="s">
        <v>84</v>
      </c>
      <c r="W83" s="594" t="s">
        <v>182</v>
      </c>
    </row>
    <row r="84" spans="1:23" s="591" customFormat="1" ht="15" customHeight="1" thickTop="1" x14ac:dyDescent="0.25">
      <c r="A84" s="431"/>
      <c r="B84" s="610"/>
      <c r="C84" s="610"/>
      <c r="D84" s="610"/>
      <c r="E84" s="955" t="s">
        <v>172</v>
      </c>
      <c r="F84" s="955" t="s">
        <v>176</v>
      </c>
      <c r="G84" s="955" t="s">
        <v>177</v>
      </c>
      <c r="H84" s="955" t="s">
        <v>178</v>
      </c>
      <c r="I84" s="955" t="s">
        <v>179</v>
      </c>
      <c r="J84" s="968" t="s">
        <v>188</v>
      </c>
      <c r="P84" s="595"/>
      <c r="Q84" s="595"/>
      <c r="R84" s="595"/>
      <c r="S84" s="595"/>
      <c r="T84" s="595"/>
      <c r="U84" s="595"/>
      <c r="V84" s="594">
        <v>0.01</v>
      </c>
      <c r="W84" s="594" t="s">
        <v>86</v>
      </c>
    </row>
    <row r="85" spans="1:23" s="591" customFormat="1" x14ac:dyDescent="0.25">
      <c r="A85" s="970" t="s">
        <v>174</v>
      </c>
      <c r="B85" s="971"/>
      <c r="C85" s="971"/>
      <c r="D85" s="972"/>
      <c r="E85" s="956"/>
      <c r="F85" s="956"/>
      <c r="G85" s="956"/>
      <c r="H85" s="956"/>
      <c r="I85" s="956"/>
      <c r="J85" s="969"/>
      <c r="P85" s="595"/>
      <c r="Q85" s="595"/>
      <c r="R85" s="595"/>
      <c r="S85" s="595"/>
      <c r="T85" s="595"/>
      <c r="U85" s="595"/>
      <c r="V85" s="594">
        <v>10</v>
      </c>
      <c r="W85" s="594" t="s">
        <v>87</v>
      </c>
    </row>
    <row r="86" spans="1:23" s="591" customFormat="1" x14ac:dyDescent="0.25">
      <c r="A86" s="963" t="s">
        <v>183</v>
      </c>
      <c r="B86" s="964"/>
      <c r="C86" s="964"/>
      <c r="D86" s="965"/>
      <c r="E86" s="617"/>
      <c r="F86" s="617"/>
      <c r="G86" s="617"/>
      <c r="H86" s="617"/>
      <c r="I86" s="617"/>
      <c r="J86" s="618"/>
      <c r="P86" s="595"/>
      <c r="Q86" s="595"/>
      <c r="R86" s="595"/>
      <c r="S86" s="595"/>
      <c r="T86" s="595"/>
      <c r="U86" s="595"/>
      <c r="V86" s="594">
        <v>20</v>
      </c>
      <c r="W86" s="594" t="s">
        <v>88</v>
      </c>
    </row>
    <row r="87" spans="1:23" s="591" customFormat="1" x14ac:dyDescent="0.25">
      <c r="A87" s="963" t="s">
        <v>173</v>
      </c>
      <c r="B87" s="964"/>
      <c r="C87" s="964"/>
      <c r="D87" s="965"/>
      <c r="E87" s="617"/>
      <c r="F87" s="617"/>
      <c r="G87" s="617"/>
      <c r="H87" s="617"/>
      <c r="I87" s="617"/>
      <c r="J87" s="618"/>
      <c r="P87" s="595"/>
      <c r="Q87" s="595"/>
      <c r="R87" s="595"/>
      <c r="S87" s="595"/>
      <c r="T87" s="595"/>
      <c r="U87" s="595"/>
      <c r="V87" s="594">
        <v>35</v>
      </c>
      <c r="W87" s="594" t="s">
        <v>47</v>
      </c>
    </row>
    <row r="88" spans="1:23" s="591" customFormat="1" x14ac:dyDescent="0.25">
      <c r="A88" s="701" t="s">
        <v>313</v>
      </c>
      <c r="B88" s="701"/>
      <c r="C88" s="834"/>
      <c r="D88" s="834"/>
      <c r="E88" s="617"/>
      <c r="F88" s="513"/>
      <c r="G88" s="617"/>
      <c r="H88" s="617"/>
      <c r="I88" s="617"/>
      <c r="J88" s="618"/>
      <c r="K88" s="593"/>
      <c r="P88" s="595"/>
      <c r="Q88" s="595"/>
      <c r="R88" s="595"/>
      <c r="S88" s="595"/>
      <c r="T88" s="595"/>
      <c r="U88" s="595"/>
      <c r="V88" s="594">
        <v>55</v>
      </c>
      <c r="W88" s="594" t="s">
        <v>30</v>
      </c>
    </row>
    <row r="89" spans="1:23" s="591" customFormat="1" x14ac:dyDescent="0.25">
      <c r="A89" s="636" t="s">
        <v>1</v>
      </c>
      <c r="B89" s="611"/>
      <c r="C89" s="611"/>
      <c r="D89" s="611"/>
      <c r="E89" s="611"/>
      <c r="F89" s="611"/>
      <c r="G89" s="611"/>
      <c r="H89" s="611"/>
      <c r="I89" s="611"/>
      <c r="J89" s="614"/>
      <c r="P89" s="595"/>
      <c r="Q89" s="595"/>
      <c r="R89" s="595"/>
      <c r="S89" s="595"/>
      <c r="T89" s="595"/>
      <c r="U89" s="595"/>
      <c r="V89" s="594">
        <v>80</v>
      </c>
      <c r="W89" s="594" t="s">
        <v>66</v>
      </c>
    </row>
    <row r="90" spans="1:23" s="591" customFormat="1" x14ac:dyDescent="0.25">
      <c r="A90" s="645" t="s">
        <v>171</v>
      </c>
      <c r="B90" s="811"/>
      <c r="C90" s="811"/>
      <c r="D90" s="811"/>
      <c r="E90" s="617"/>
      <c r="F90" s="617"/>
      <c r="G90" s="617"/>
      <c r="H90" s="617"/>
      <c r="I90" s="617"/>
      <c r="J90" s="618"/>
    </row>
    <row r="91" spans="1:23" s="591" customFormat="1" x14ac:dyDescent="0.25">
      <c r="A91" s="637" t="s">
        <v>175</v>
      </c>
      <c r="B91" s="593"/>
      <c r="C91" s="346"/>
      <c r="D91" s="211"/>
      <c r="E91" s="211"/>
      <c r="F91" s="211"/>
      <c r="G91" s="211"/>
      <c r="H91" s="211"/>
      <c r="I91" s="211"/>
      <c r="J91" s="243"/>
    </row>
    <row r="92" spans="1:23" s="591" customFormat="1" x14ac:dyDescent="0.25">
      <c r="A92" s="830" t="s">
        <v>5</v>
      </c>
      <c r="B92" s="727"/>
      <c r="C92" s="727"/>
      <c r="D92" s="811"/>
      <c r="E92" s="619" t="e">
        <f t="shared" ref="E92:J92" si="26">HLOOKUP(E86,$C12:$J29,17,FALSE)</f>
        <v>#N/A</v>
      </c>
      <c r="F92" s="619" t="e">
        <f t="shared" si="26"/>
        <v>#N/A</v>
      </c>
      <c r="G92" s="619" t="e">
        <f t="shared" si="26"/>
        <v>#N/A</v>
      </c>
      <c r="H92" s="619" t="e">
        <f t="shared" si="26"/>
        <v>#N/A</v>
      </c>
      <c r="I92" s="619" t="e">
        <f t="shared" si="26"/>
        <v>#N/A</v>
      </c>
      <c r="J92" s="615" t="e">
        <f t="shared" si="26"/>
        <v>#N/A</v>
      </c>
    </row>
    <row r="93" spans="1:23" s="591" customFormat="1" ht="15.75" x14ac:dyDescent="0.3">
      <c r="A93" s="830" t="s">
        <v>69</v>
      </c>
      <c r="B93" s="727"/>
      <c r="C93" s="727"/>
      <c r="D93" s="811"/>
      <c r="E93" s="619" t="e">
        <f t="shared" ref="E93:J93" si="27">HLOOKUP(E86,$C12:$J29,18,FALSE)</f>
        <v>#N/A</v>
      </c>
      <c r="F93" s="619" t="e">
        <f t="shared" si="27"/>
        <v>#N/A</v>
      </c>
      <c r="G93" s="619" t="e">
        <f t="shared" si="27"/>
        <v>#N/A</v>
      </c>
      <c r="H93" s="619" t="e">
        <f t="shared" si="27"/>
        <v>#N/A</v>
      </c>
      <c r="I93" s="619" t="e">
        <f t="shared" si="27"/>
        <v>#N/A</v>
      </c>
      <c r="J93" s="615" t="e">
        <f t="shared" si="27"/>
        <v>#N/A</v>
      </c>
    </row>
    <row r="94" spans="1:23" s="591" customFormat="1" ht="15.75" x14ac:dyDescent="0.3">
      <c r="A94" s="830" t="s">
        <v>269</v>
      </c>
      <c r="B94" s="727"/>
      <c r="C94" s="727"/>
      <c r="D94" s="811"/>
      <c r="E94" s="619" t="e">
        <f t="shared" ref="E94:J94" si="28">HLOOKUP(E86,$C12:$J30,19,FALSE)</f>
        <v>#N/A</v>
      </c>
      <c r="F94" s="619" t="e">
        <f t="shared" si="28"/>
        <v>#N/A</v>
      </c>
      <c r="G94" s="619" t="e">
        <f t="shared" si="28"/>
        <v>#N/A</v>
      </c>
      <c r="H94" s="619" t="e">
        <f t="shared" si="28"/>
        <v>#N/A</v>
      </c>
      <c r="I94" s="619" t="e">
        <f t="shared" si="28"/>
        <v>#N/A</v>
      </c>
      <c r="J94" s="615" t="e">
        <f t="shared" si="28"/>
        <v>#N/A</v>
      </c>
    </row>
    <row r="95" spans="1:23" s="591" customFormat="1" x14ac:dyDescent="0.25">
      <c r="A95" s="638" t="s">
        <v>211</v>
      </c>
      <c r="B95" s="727"/>
      <c r="C95" s="727"/>
      <c r="D95" s="811"/>
      <c r="E95" s="233"/>
      <c r="F95" s="811"/>
      <c r="G95" s="811"/>
      <c r="H95" s="811"/>
      <c r="I95" s="811"/>
      <c r="J95" s="244"/>
    </row>
    <row r="96" spans="1:23" s="591" customFormat="1" ht="15" customHeight="1" x14ac:dyDescent="0.25">
      <c r="A96" s="637" t="s">
        <v>70</v>
      </c>
      <c r="B96" s="593"/>
      <c r="C96" s="593"/>
      <c r="D96" s="211"/>
      <c r="E96" s="593"/>
      <c r="F96" s="250"/>
      <c r="G96" s="211"/>
      <c r="H96" s="211"/>
      <c r="I96" s="211"/>
      <c r="J96" s="243"/>
    </row>
    <row r="97" spans="1:11" s="591" customFormat="1" ht="15" customHeight="1" x14ac:dyDescent="0.25">
      <c r="A97" s="644" t="s">
        <v>294</v>
      </c>
      <c r="B97" s="727"/>
      <c r="C97" s="727"/>
      <c r="D97" s="811"/>
      <c r="E97" s="586" t="e">
        <f>E90/(E92*E93)</f>
        <v>#N/A</v>
      </c>
      <c r="F97" s="586" t="e">
        <f t="shared" ref="F97:J97" si="29">F90/(F92*F93)</f>
        <v>#N/A</v>
      </c>
      <c r="G97" s="586" t="e">
        <f t="shared" si="29"/>
        <v>#N/A</v>
      </c>
      <c r="H97" s="586" t="e">
        <f t="shared" si="29"/>
        <v>#N/A</v>
      </c>
      <c r="I97" s="586" t="e">
        <f t="shared" si="29"/>
        <v>#N/A</v>
      </c>
      <c r="J97" s="587" t="e">
        <f t="shared" si="29"/>
        <v>#N/A</v>
      </c>
    </row>
    <row r="98" spans="1:11" s="591" customFormat="1" ht="15" customHeight="1" x14ac:dyDescent="0.25">
      <c r="A98" s="580" t="s">
        <v>295</v>
      </c>
      <c r="B98" s="727"/>
      <c r="C98" s="727"/>
      <c r="D98" s="811"/>
      <c r="E98" s="586" t="e">
        <f>IF(E88="yes",0,VLOOKUP(E87,$U33:$V40,2,FALSE))</f>
        <v>#N/A</v>
      </c>
      <c r="F98" s="586" t="e">
        <f>IF(F88="yes",0,VLOOKUP(F87,$U33:$V40,2,FALSE))</f>
        <v>#N/A</v>
      </c>
      <c r="G98" s="586" t="e">
        <f t="shared" ref="G98:I98" si="30">IF(G88="yes",0,VLOOKUP(G87,$U33:$V40,2,FALSE))</f>
        <v>#N/A</v>
      </c>
      <c r="H98" s="586" t="e">
        <f t="shared" si="30"/>
        <v>#N/A</v>
      </c>
      <c r="I98" s="586" t="e">
        <f t="shared" si="30"/>
        <v>#N/A</v>
      </c>
      <c r="J98" s="587" t="e">
        <f>VLOOKUP(J87,$U33:$V40,2,FALSE)</f>
        <v>#N/A</v>
      </c>
    </row>
    <row r="99" spans="1:11" s="591" customFormat="1" x14ac:dyDescent="0.25">
      <c r="A99" s="642" t="s">
        <v>346</v>
      </c>
      <c r="B99" s="724"/>
      <c r="C99" s="724"/>
      <c r="D99" s="812"/>
      <c r="E99" s="262"/>
      <c r="F99" s="263"/>
      <c r="G99" s="812"/>
      <c r="H99" s="812"/>
      <c r="I99" s="812"/>
      <c r="J99" s="496"/>
    </row>
    <row r="100" spans="1:11" s="591" customFormat="1" ht="15.75" thickBot="1" x14ac:dyDescent="0.3">
      <c r="A100" s="830" t="s">
        <v>336</v>
      </c>
      <c r="B100" s="727"/>
      <c r="C100" s="727"/>
      <c r="D100" s="811"/>
      <c r="E100" s="613" t="e">
        <f t="shared" ref="E100:J100" si="31">(1130*EXP(-0.001*E98))*E93*E94</f>
        <v>#N/A</v>
      </c>
      <c r="F100" s="613" t="e">
        <f t="shared" si="31"/>
        <v>#N/A</v>
      </c>
      <c r="G100" s="613" t="e">
        <f t="shared" si="31"/>
        <v>#N/A</v>
      </c>
      <c r="H100" s="613" t="e">
        <f t="shared" si="31"/>
        <v>#N/A</v>
      </c>
      <c r="I100" s="613" t="e">
        <f t="shared" si="31"/>
        <v>#N/A</v>
      </c>
      <c r="J100" s="634" t="e">
        <f t="shared" si="31"/>
        <v>#N/A</v>
      </c>
    </row>
    <row r="101" spans="1:11" s="591" customFormat="1" ht="15.75" thickTop="1" x14ac:dyDescent="0.25">
      <c r="A101" s="830" t="s">
        <v>337</v>
      </c>
      <c r="B101" s="727"/>
      <c r="C101" s="727"/>
      <c r="D101" s="811"/>
      <c r="E101" s="584" t="e">
        <f>IF(E100="NA","NA",E97*E93)</f>
        <v>#N/A</v>
      </c>
      <c r="F101" s="584" t="e">
        <f t="shared" ref="F101:J101" si="32">IF(F100="NA","NA",F97*F93)</f>
        <v>#N/A</v>
      </c>
      <c r="G101" s="584" t="e">
        <f t="shared" si="32"/>
        <v>#N/A</v>
      </c>
      <c r="H101" s="584" t="e">
        <f t="shared" si="32"/>
        <v>#N/A</v>
      </c>
      <c r="I101" s="584" t="e">
        <f t="shared" si="32"/>
        <v>#N/A</v>
      </c>
      <c r="J101" s="521" t="e">
        <f t="shared" si="32"/>
        <v>#N/A</v>
      </c>
    </row>
    <row r="102" spans="1:11" s="591" customFormat="1" x14ac:dyDescent="0.25">
      <c r="A102" s="831" t="s">
        <v>203</v>
      </c>
      <c r="B102" s="237"/>
      <c r="C102" s="237"/>
      <c r="D102" s="237"/>
      <c r="E102" s="612" t="e">
        <f>E101/E100</f>
        <v>#N/A</v>
      </c>
      <c r="F102" s="612" t="e">
        <f t="shared" ref="F102:J102" si="33">F97/F100</f>
        <v>#N/A</v>
      </c>
      <c r="G102" s="612" t="e">
        <f t="shared" si="33"/>
        <v>#N/A</v>
      </c>
      <c r="H102" s="612" t="e">
        <f t="shared" si="33"/>
        <v>#N/A</v>
      </c>
      <c r="I102" s="612" t="e">
        <f t="shared" si="33"/>
        <v>#N/A</v>
      </c>
      <c r="J102" s="635" t="e">
        <f t="shared" si="33"/>
        <v>#N/A</v>
      </c>
    </row>
    <row r="103" spans="1:11" s="591" customFormat="1" x14ac:dyDescent="0.25">
      <c r="A103" s="831" t="s">
        <v>311</v>
      </c>
      <c r="B103" s="238"/>
      <c r="C103" s="238"/>
      <c r="D103" s="238"/>
      <c r="E103" s="620" t="e">
        <f>IF(E88="yes",0,3600/E100+900*0.25*(E102-1+SQRT((E102-1)^2+((3600/E100)*E102)/(450*0.25)))+(5*(MIN(E102,1))))</f>
        <v>#N/A</v>
      </c>
      <c r="F103" s="620" t="e">
        <f t="shared" ref="F103:J103" si="34">IF(F88="yes",0,3600/F100+900*0.25*(F102-1+SQRT((F102-1)^2+((3600/F100)*F102)/(450*0.25)))+(5*(MIN(F102,1))))</f>
        <v>#N/A</v>
      </c>
      <c r="G103" s="620" t="e">
        <f t="shared" si="34"/>
        <v>#N/A</v>
      </c>
      <c r="H103" s="620" t="e">
        <f t="shared" si="34"/>
        <v>#N/A</v>
      </c>
      <c r="I103" s="620" t="e">
        <f t="shared" si="34"/>
        <v>#N/A</v>
      </c>
      <c r="J103" s="643" t="e">
        <f t="shared" si="34"/>
        <v>#N/A</v>
      </c>
    </row>
    <row r="104" spans="1:11" s="591" customFormat="1" x14ac:dyDescent="0.25">
      <c r="A104" s="830" t="s">
        <v>85</v>
      </c>
      <c r="B104" s="833"/>
      <c r="C104" s="833"/>
      <c r="D104" s="833"/>
      <c r="E104" s="588" t="e">
        <f>VLOOKUP(E103,$V$76:$W$81,2,TRUE)</f>
        <v>#N/A</v>
      </c>
      <c r="F104" s="588" t="e">
        <f t="shared" ref="F104:J104" si="35">VLOOKUP(F103,$V76:$W81,2,TRUE)</f>
        <v>#N/A</v>
      </c>
      <c r="G104" s="588" t="e">
        <f t="shared" si="35"/>
        <v>#N/A</v>
      </c>
      <c r="H104" s="588" t="e">
        <f t="shared" si="35"/>
        <v>#N/A</v>
      </c>
      <c r="I104" s="588" t="e">
        <f t="shared" si="35"/>
        <v>#N/A</v>
      </c>
      <c r="J104" s="589" t="e">
        <f t="shared" si="35"/>
        <v>#N/A</v>
      </c>
    </row>
    <row r="105" spans="1:11" s="591" customFormat="1" hidden="1" x14ac:dyDescent="0.25">
      <c r="A105" s="830" t="s">
        <v>180</v>
      </c>
      <c r="B105" s="833"/>
      <c r="C105" s="833"/>
      <c r="D105" s="833"/>
      <c r="E105" s="588" t="e">
        <f t="shared" ref="E105:J105" si="36">VLOOKUP(E103,$V83:$W89,2,TRUE)</f>
        <v>#N/A</v>
      </c>
      <c r="F105" s="588" t="e">
        <f t="shared" si="36"/>
        <v>#N/A</v>
      </c>
      <c r="G105" s="588" t="e">
        <f t="shared" si="36"/>
        <v>#N/A</v>
      </c>
      <c r="H105" s="588" t="e">
        <f t="shared" si="36"/>
        <v>#N/A</v>
      </c>
      <c r="I105" s="588" t="e">
        <f t="shared" si="36"/>
        <v>#N/A</v>
      </c>
      <c r="J105" s="589" t="e">
        <f t="shared" si="36"/>
        <v>#N/A</v>
      </c>
    </row>
    <row r="106" spans="1:11" s="591" customFormat="1" hidden="1" x14ac:dyDescent="0.25">
      <c r="A106" s="837" t="s">
        <v>210</v>
      </c>
      <c r="B106" s="239"/>
      <c r="C106" s="239"/>
      <c r="D106" s="239"/>
      <c r="E106" s="226" t="e">
        <f>""&amp;E104&amp;" / "&amp;E105&amp;"*"</f>
        <v>#N/A</v>
      </c>
      <c r="F106" s="226" t="e">
        <f t="shared" ref="F106:J106" si="37">""&amp;F104&amp;" / "&amp;F105&amp;"*"</f>
        <v>#N/A</v>
      </c>
      <c r="G106" s="226" t="e">
        <f t="shared" si="37"/>
        <v>#N/A</v>
      </c>
      <c r="H106" s="226" t="e">
        <f t="shared" si="37"/>
        <v>#N/A</v>
      </c>
      <c r="I106" s="226" t="e">
        <f t="shared" si="37"/>
        <v>#N/A</v>
      </c>
      <c r="J106" s="230" t="e">
        <f t="shared" si="37"/>
        <v>#N/A</v>
      </c>
    </row>
    <row r="107" spans="1:11" s="591" customFormat="1" x14ac:dyDescent="0.25">
      <c r="A107" s="231" t="s">
        <v>10</v>
      </c>
      <c r="B107" s="234"/>
      <c r="C107" s="234"/>
      <c r="D107" s="234"/>
      <c r="E107" s="597" t="e">
        <f>225*(E102-1+SQRT((1-E102)^2+((3600/E100)*E102/37.5)))*(E100/3600)</f>
        <v>#N/A</v>
      </c>
      <c r="F107" s="597" t="e">
        <f t="shared" ref="F107:J107" si="38">225*(F102-1+SQRT((1-F102)^2+((3600/F100)*F102/37.5)))*(F100/3600)</f>
        <v>#N/A</v>
      </c>
      <c r="G107" s="597" t="e">
        <f t="shared" si="38"/>
        <v>#N/A</v>
      </c>
      <c r="H107" s="597" t="e">
        <f t="shared" si="38"/>
        <v>#N/A</v>
      </c>
      <c r="I107" s="597" t="e">
        <f t="shared" si="38"/>
        <v>#N/A</v>
      </c>
      <c r="J107" s="607" t="e">
        <f t="shared" si="38"/>
        <v>#N/A</v>
      </c>
    </row>
    <row r="108" spans="1:11" s="591" customFormat="1" x14ac:dyDescent="0.25">
      <c r="A108" s="831" t="s">
        <v>138</v>
      </c>
      <c r="B108" s="238"/>
      <c r="C108" s="238"/>
      <c r="D108" s="515"/>
      <c r="E108" s="235" t="e">
        <f>(E107*($P$28/E93))</f>
        <v>#N/A</v>
      </c>
      <c r="F108" s="235" t="e">
        <f t="shared" ref="F108:J108" si="39">(F107*($P$28/F93))</f>
        <v>#N/A</v>
      </c>
      <c r="G108" s="235" t="e">
        <f t="shared" si="39"/>
        <v>#N/A</v>
      </c>
      <c r="H108" s="235" t="e">
        <f t="shared" si="39"/>
        <v>#N/A</v>
      </c>
      <c r="I108" s="235" t="e">
        <f t="shared" si="39"/>
        <v>#N/A</v>
      </c>
      <c r="J108" s="183" t="e">
        <f t="shared" si="39"/>
        <v>#N/A</v>
      </c>
    </row>
    <row r="109" spans="1:11" s="591" customFormat="1" hidden="1" x14ac:dyDescent="0.25">
      <c r="A109" s="605"/>
      <c r="B109" s="514" t="s">
        <v>316</v>
      </c>
      <c r="C109" s="238"/>
      <c r="D109" s="238"/>
      <c r="E109" s="885" t="e">
        <f t="shared" ref="E109:J109" si="40">HLOOKUP(E86,$C12:$J63,52,FALSE)</f>
        <v>#N/A</v>
      </c>
      <c r="F109" s="885" t="e">
        <f t="shared" si="40"/>
        <v>#N/A</v>
      </c>
      <c r="G109" s="885" t="e">
        <f t="shared" si="40"/>
        <v>#N/A</v>
      </c>
      <c r="H109" s="885" t="e">
        <f t="shared" si="40"/>
        <v>#N/A</v>
      </c>
      <c r="I109" s="885" t="e">
        <f t="shared" si="40"/>
        <v>#N/A</v>
      </c>
      <c r="J109" s="886" t="e">
        <f t="shared" si="40"/>
        <v>#N/A</v>
      </c>
    </row>
    <row r="110" spans="1:11" s="591" customFormat="1" hidden="1" x14ac:dyDescent="0.25">
      <c r="A110" s="605"/>
      <c r="B110" s="701" t="s">
        <v>360</v>
      </c>
      <c r="C110" s="238"/>
      <c r="D110" s="238"/>
      <c r="E110" s="238" t="e">
        <f t="shared" ref="E110:J110" si="41">HLOOKUP(E86,$C12:$J63,50,FALSE)</f>
        <v>#N/A</v>
      </c>
      <c r="F110" s="238" t="e">
        <f t="shared" si="41"/>
        <v>#N/A</v>
      </c>
      <c r="G110" s="238" t="e">
        <f t="shared" si="41"/>
        <v>#N/A</v>
      </c>
      <c r="H110" s="238" t="e">
        <f t="shared" si="41"/>
        <v>#N/A</v>
      </c>
      <c r="I110" s="238" t="e">
        <f t="shared" si="41"/>
        <v>#N/A</v>
      </c>
      <c r="J110" s="859" t="e">
        <f t="shared" si="41"/>
        <v>#N/A</v>
      </c>
    </row>
    <row r="111" spans="1:11" s="591" customFormat="1" x14ac:dyDescent="0.25">
      <c r="A111" s="516" t="s">
        <v>317</v>
      </c>
      <c r="B111" s="518"/>
      <c r="C111" s="518"/>
      <c r="D111" s="518"/>
      <c r="E111" s="519" t="e">
        <f>((E103*E101)+(E110*E109))/(E110+E101)</f>
        <v>#N/A</v>
      </c>
      <c r="F111" s="519" t="e">
        <f t="shared" ref="F111:J111" si="42">((F103*F101)+(F110*F109))/(F110+F101)</f>
        <v>#N/A</v>
      </c>
      <c r="G111" s="517" t="e">
        <f t="shared" si="42"/>
        <v>#N/A</v>
      </c>
      <c r="H111" s="517" t="e">
        <f t="shared" si="42"/>
        <v>#N/A</v>
      </c>
      <c r="I111" s="517" t="e">
        <f t="shared" si="42"/>
        <v>#N/A</v>
      </c>
      <c r="J111" s="522" t="e">
        <f t="shared" si="42"/>
        <v>#N/A</v>
      </c>
      <c r="K111" s="593"/>
    </row>
    <row r="112" spans="1:11" s="591" customFormat="1" ht="15.75" thickBot="1" x14ac:dyDescent="0.3">
      <c r="A112" s="816" t="s">
        <v>318</v>
      </c>
      <c r="B112" s="817"/>
      <c r="C112" s="817"/>
      <c r="D112" s="818"/>
      <c r="E112" s="819" t="e">
        <f>VLOOKUP(E111,$V$76:$W$81,2,TRUE)</f>
        <v>#N/A</v>
      </c>
      <c r="F112" s="819" t="e">
        <f t="shared" ref="F112:J112" si="43">VLOOKUP(F111,$V$76:$W$81,2,TRUE)</f>
        <v>#N/A</v>
      </c>
      <c r="G112" s="819" t="e">
        <f t="shared" si="43"/>
        <v>#N/A</v>
      </c>
      <c r="H112" s="819" t="e">
        <f t="shared" si="43"/>
        <v>#N/A</v>
      </c>
      <c r="I112" s="819" t="e">
        <f t="shared" si="43"/>
        <v>#N/A</v>
      </c>
      <c r="J112" s="820" t="e">
        <f t="shared" si="43"/>
        <v>#N/A</v>
      </c>
    </row>
    <row r="113" spans="6:10" s="591" customFormat="1" x14ac:dyDescent="0.25"/>
    <row r="114" spans="6:10" s="591" customFormat="1" x14ac:dyDescent="0.25"/>
    <row r="115" spans="6:10" s="591" customFormat="1" x14ac:dyDescent="0.25">
      <c r="F115" s="966"/>
      <c r="G115" s="966"/>
      <c r="H115" s="966"/>
      <c r="I115" s="966"/>
      <c r="J115" s="966"/>
    </row>
    <row r="116" spans="6:10" s="591" customFormat="1" x14ac:dyDescent="0.25">
      <c r="F116" s="967"/>
      <c r="G116" s="967"/>
      <c r="H116" s="967"/>
      <c r="I116" s="347"/>
      <c r="J116" s="520"/>
    </row>
    <row r="117" spans="6:10" s="591" customFormat="1" x14ac:dyDescent="0.25">
      <c r="F117" s="967"/>
      <c r="G117" s="967"/>
      <c r="H117" s="967"/>
      <c r="I117" s="347"/>
      <c r="J117" s="347"/>
    </row>
    <row r="118" spans="6:10" s="591" customFormat="1" x14ac:dyDescent="0.25">
      <c r="H118" s="593"/>
      <c r="I118" s="347"/>
      <c r="J118" s="347"/>
    </row>
    <row r="119" spans="6:10" s="591" customFormat="1" x14ac:dyDescent="0.25"/>
    <row r="120" spans="6:10" s="591" customFormat="1" x14ac:dyDescent="0.25"/>
    <row r="121" spans="6:10" s="591" customFormat="1" x14ac:dyDescent="0.25"/>
    <row r="122" spans="6:10" s="591" customFormat="1" x14ac:dyDescent="0.25"/>
    <row r="123" spans="6:10" s="591" customFormat="1" x14ac:dyDescent="0.25"/>
    <row r="124" spans="6:10" s="591" customFormat="1" x14ac:dyDescent="0.25"/>
    <row r="125" spans="6:10" s="591" customFormat="1" x14ac:dyDescent="0.25"/>
    <row r="126" spans="6:10" s="591" customFormat="1" x14ac:dyDescent="0.25"/>
    <row r="127" spans="6:10" s="591" customFormat="1" x14ac:dyDescent="0.25"/>
    <row r="128" spans="6:10" s="591" customFormat="1" x14ac:dyDescent="0.25"/>
    <row r="129" s="591" customFormat="1" x14ac:dyDescent="0.25"/>
    <row r="130" s="591" customFormat="1" x14ac:dyDescent="0.25"/>
    <row r="131" s="591" customFormat="1" x14ac:dyDescent="0.25"/>
    <row r="132" s="591" customFormat="1" x14ac:dyDescent="0.25"/>
    <row r="133" s="591" customFormat="1" x14ac:dyDescent="0.25"/>
    <row r="134" s="591" customFormat="1" x14ac:dyDescent="0.25"/>
    <row r="135" s="591" customFormat="1" x14ac:dyDescent="0.25"/>
    <row r="136" s="591" customFormat="1" x14ac:dyDescent="0.25"/>
    <row r="137" s="591" customFormat="1" x14ac:dyDescent="0.25"/>
    <row r="138" s="591" customFormat="1" x14ac:dyDescent="0.25"/>
    <row r="139" s="591" customFormat="1" x14ac:dyDescent="0.25"/>
    <row r="140" s="591" customFormat="1" x14ac:dyDescent="0.25"/>
    <row r="141" s="591" customFormat="1" x14ac:dyDescent="0.25"/>
    <row r="142" s="591" customFormat="1" x14ac:dyDescent="0.25"/>
    <row r="143" s="591" customFormat="1" x14ac:dyDescent="0.25"/>
    <row r="144" s="591" customFormat="1" x14ac:dyDescent="0.25"/>
    <row r="145" s="591" customFormat="1" x14ac:dyDescent="0.25"/>
    <row r="146" s="591" customFormat="1" x14ac:dyDescent="0.25"/>
    <row r="147" s="591" customFormat="1" x14ac:dyDescent="0.25"/>
    <row r="148" s="591" customFormat="1" x14ac:dyDescent="0.25"/>
    <row r="149" s="591" customFormat="1" x14ac:dyDescent="0.25"/>
    <row r="150" s="591" customFormat="1" x14ac:dyDescent="0.25"/>
    <row r="151" s="591" customFormat="1" x14ac:dyDescent="0.25"/>
    <row r="152" s="591" customFormat="1" x14ac:dyDescent="0.25"/>
    <row r="153" s="591" customFormat="1" x14ac:dyDescent="0.25"/>
    <row r="154" s="591" customFormat="1" x14ac:dyDescent="0.25"/>
    <row r="155" s="591" customFormat="1" x14ac:dyDescent="0.25"/>
    <row r="156" s="591" customFormat="1" x14ac:dyDescent="0.25"/>
    <row r="157" s="591" customFormat="1" x14ac:dyDescent="0.25"/>
    <row r="158" s="591" customFormat="1" x14ac:dyDescent="0.25"/>
    <row r="159" s="591" customFormat="1" x14ac:dyDescent="0.25"/>
    <row r="160" s="591" customFormat="1" x14ac:dyDescent="0.25"/>
    <row r="161" s="591" customFormat="1" x14ac:dyDescent="0.25"/>
    <row r="162" s="591" customFormat="1" x14ac:dyDescent="0.25"/>
    <row r="163" s="591" customFormat="1" x14ac:dyDescent="0.25"/>
    <row r="164" s="591" customFormat="1" x14ac:dyDescent="0.25"/>
    <row r="165" s="591" customFormat="1" x14ac:dyDescent="0.25"/>
    <row r="166" s="591" customFormat="1" x14ac:dyDescent="0.25"/>
    <row r="167" s="591" customFormat="1" x14ac:dyDescent="0.25"/>
    <row r="168" s="591" customFormat="1" x14ac:dyDescent="0.25"/>
    <row r="169" s="591" customFormat="1" x14ac:dyDescent="0.25"/>
    <row r="170" s="591" customFormat="1" x14ac:dyDescent="0.25"/>
    <row r="171" s="591" customFormat="1" x14ac:dyDescent="0.25"/>
    <row r="172" s="591" customFormat="1" x14ac:dyDescent="0.25"/>
    <row r="173" s="591" customFormat="1" x14ac:dyDescent="0.25"/>
    <row r="174" s="591" customFormat="1" x14ac:dyDescent="0.25"/>
    <row r="175" s="591" customFormat="1" x14ac:dyDescent="0.25"/>
    <row r="176" s="591" customFormat="1" x14ac:dyDescent="0.25"/>
    <row r="177" s="591" customFormat="1" x14ac:dyDescent="0.25"/>
    <row r="178" s="591" customFormat="1" x14ac:dyDescent="0.25"/>
    <row r="179" s="591" customFormat="1" x14ac:dyDescent="0.25"/>
    <row r="180" s="591" customFormat="1" x14ac:dyDescent="0.25"/>
    <row r="181" s="591" customFormat="1" x14ac:dyDescent="0.25"/>
    <row r="182" s="591" customFormat="1" x14ac:dyDescent="0.25"/>
    <row r="183" s="591" customFormat="1" x14ac:dyDescent="0.25"/>
    <row r="184" s="591" customFormat="1" x14ac:dyDescent="0.25"/>
    <row r="185" s="591" customFormat="1" x14ac:dyDescent="0.25"/>
    <row r="186" s="591" customFormat="1" x14ac:dyDescent="0.25"/>
    <row r="187" s="591" customFormat="1" x14ac:dyDescent="0.25"/>
    <row r="188" s="591" customFormat="1" x14ac:dyDescent="0.25"/>
    <row r="189" s="591" customFormat="1" x14ac:dyDescent="0.25"/>
    <row r="190" s="591" customFormat="1" x14ac:dyDescent="0.25"/>
    <row r="191" s="591" customFormat="1" x14ac:dyDescent="0.25"/>
    <row r="192" s="591" customFormat="1" x14ac:dyDescent="0.25"/>
    <row r="193" s="591" customFormat="1" x14ac:dyDescent="0.25"/>
    <row r="194" s="591" customFormat="1" x14ac:dyDescent="0.25"/>
    <row r="195" s="591" customFormat="1" x14ac:dyDescent="0.25"/>
    <row r="196" s="591" customFormat="1" x14ac:dyDescent="0.25"/>
    <row r="197" s="591" customFormat="1" x14ac:dyDescent="0.25"/>
    <row r="198" s="591" customFormat="1" x14ac:dyDescent="0.25"/>
    <row r="199" s="591" customFormat="1" x14ac:dyDescent="0.25"/>
    <row r="200" s="591" customFormat="1" x14ac:dyDescent="0.25"/>
    <row r="201" s="591" customFormat="1" x14ac:dyDescent="0.25"/>
  </sheetData>
  <sheetProtection algorithmName="SHA-512" hashValue="YoqM5Rgs6OfBG4/lkFkcTuZONhvMv1LAbJkRloBdC58tz4RjDyQdqjR4r75c1fI0WFtB7AbRZeBC11aHU3H2oA==" saltValue="46jxCXLYLPHyhNUbsn9eVQ==" spinCount="100000" sheet="1" objects="1" scenarios="1"/>
  <mergeCells count="75">
    <mergeCell ref="A87:D87"/>
    <mergeCell ref="F115:J115"/>
    <mergeCell ref="F116:H116"/>
    <mergeCell ref="F117:H117"/>
    <mergeCell ref="G84:G85"/>
    <mergeCell ref="H84:H85"/>
    <mergeCell ref="I84:I85"/>
    <mergeCell ref="J84:J85"/>
    <mergeCell ref="A85:D85"/>
    <mergeCell ref="A86:D86"/>
    <mergeCell ref="F84:F85"/>
    <mergeCell ref="A63:B63"/>
    <mergeCell ref="A64:B64"/>
    <mergeCell ref="A68:B68"/>
    <mergeCell ref="A73:B73"/>
    <mergeCell ref="E84:E85"/>
    <mergeCell ref="A67:B67"/>
    <mergeCell ref="A70:J70"/>
    <mergeCell ref="C71:D71"/>
    <mergeCell ref="F71:G71"/>
    <mergeCell ref="A72:B72"/>
    <mergeCell ref="A62:B62"/>
    <mergeCell ref="A48:J48"/>
    <mergeCell ref="A49:B49"/>
    <mergeCell ref="A50:B50"/>
    <mergeCell ref="A51:B51"/>
    <mergeCell ref="A52:B52"/>
    <mergeCell ref="A53:B53"/>
    <mergeCell ref="A54:B54"/>
    <mergeCell ref="A58:B58"/>
    <mergeCell ref="A59:B59"/>
    <mergeCell ref="A60:B60"/>
    <mergeCell ref="A61:B61"/>
    <mergeCell ref="C45:E45"/>
    <mergeCell ref="A34:B34"/>
    <mergeCell ref="A35:B35"/>
    <mergeCell ref="A36:B36"/>
    <mergeCell ref="A37:B37"/>
    <mergeCell ref="A38:B38"/>
    <mergeCell ref="A39:B39"/>
    <mergeCell ref="A40:B40"/>
    <mergeCell ref="A41:B41"/>
    <mergeCell ref="A42:B42"/>
    <mergeCell ref="A44:B44"/>
    <mergeCell ref="A45:B45"/>
    <mergeCell ref="A29:B29"/>
    <mergeCell ref="A30:B30"/>
    <mergeCell ref="A32:B32"/>
    <mergeCell ref="N32:Q32"/>
    <mergeCell ref="A33:B33"/>
    <mergeCell ref="N33:Q33"/>
    <mergeCell ref="A28:B28"/>
    <mergeCell ref="A16:B16"/>
    <mergeCell ref="A17:B17"/>
    <mergeCell ref="A18:B18"/>
    <mergeCell ref="A19:B19"/>
    <mergeCell ref="A20:B20"/>
    <mergeCell ref="A21:B21"/>
    <mergeCell ref="A23:B23"/>
    <mergeCell ref="A24:B24"/>
    <mergeCell ref="A25:B25"/>
    <mergeCell ref="A26:B26"/>
    <mergeCell ref="A27:B27"/>
    <mergeCell ref="A15:B15"/>
    <mergeCell ref="B2:G2"/>
    <mergeCell ref="B3:G3"/>
    <mergeCell ref="B4:G4"/>
    <mergeCell ref="B5:G5"/>
    <mergeCell ref="B6:G6"/>
    <mergeCell ref="B7:G7"/>
    <mergeCell ref="A8:A9"/>
    <mergeCell ref="B8:G9"/>
    <mergeCell ref="A11:B11"/>
    <mergeCell ref="A13:B13"/>
    <mergeCell ref="A14:B14"/>
  </mergeCells>
  <conditionalFormatting sqref="L34:L36 C52:J58 E111:J112 B92:B95 B97:B108 C92:J110 C66:J66 C68:J68 C63:J64">
    <cfRule type="expression" dxfId="135" priority="27" stopIfTrue="1">
      <formula>ISERROR(B34)</formula>
    </cfRule>
  </conditionalFormatting>
  <conditionalFormatting sqref="L33 C50:J51 E101:J101">
    <cfRule type="cellIs" dxfId="134" priority="26" stopIfTrue="1" operator="equal">
      <formula>FALSE</formula>
    </cfRule>
  </conditionalFormatting>
  <conditionalFormatting sqref="C28:J28">
    <cfRule type="cellIs" dxfId="133" priority="25" stopIfTrue="1" operator="notEqual">
      <formula>0.95</formula>
    </cfRule>
  </conditionalFormatting>
  <conditionalFormatting sqref="C26:J27">
    <cfRule type="cellIs" dxfId="132" priority="24" stopIfTrue="1" operator="notEqual">
      <formula>0</formula>
    </cfRule>
  </conditionalFormatting>
  <conditionalFormatting sqref="B2:B8">
    <cfRule type="cellIs" dxfId="131" priority="23" stopIfTrue="1" operator="equal">
      <formula>0</formula>
    </cfRule>
  </conditionalFormatting>
  <conditionalFormatting sqref="C45">
    <cfRule type="expression" dxfId="130" priority="22">
      <formula>"Urban Compact"</formula>
    </cfRule>
  </conditionalFormatting>
  <conditionalFormatting sqref="C14:C20 D13 D15:D20 E13:E14 E16:E20 F13:F15 F17:F20 G13:G16 G18:G20 H13:H17 H19:H20 I13:I18 I20 J13:J19">
    <cfRule type="cellIs" dxfId="129" priority="21" operator="greaterThan">
      <formula>0</formula>
    </cfRule>
  </conditionalFormatting>
  <conditionalFormatting sqref="M5:M12">
    <cfRule type="cellIs" dxfId="128" priority="20" operator="equal">
      <formula>0</formula>
    </cfRule>
  </conditionalFormatting>
  <conditionalFormatting sqref="C60:J61">
    <cfRule type="cellIs" dxfId="127" priority="19" stopIfTrue="1" operator="equal">
      <formula>FALSE</formula>
    </cfRule>
  </conditionalFormatting>
  <conditionalFormatting sqref="C25:J25">
    <cfRule type="cellIs" dxfId="126" priority="18" operator="notEqual">
      <formula>0</formula>
    </cfRule>
  </conditionalFormatting>
  <conditionalFormatting sqref="C13 D14 E15 F16 G17 H18 I19 J20">
    <cfRule type="cellIs" dxfId="125" priority="17" operator="greaterThan">
      <formula>0</formula>
    </cfRule>
  </conditionalFormatting>
  <conditionalFormatting sqref="C65:J65">
    <cfRule type="expression" dxfId="124" priority="16" stopIfTrue="1">
      <formula>ISERROR(C65)</formula>
    </cfRule>
  </conditionalFormatting>
  <conditionalFormatting sqref="C65:J65">
    <cfRule type="cellIs" dxfId="123" priority="15" operator="equal">
      <formula>0</formula>
    </cfRule>
  </conditionalFormatting>
  <conditionalFormatting sqref="C67:J67">
    <cfRule type="expression" dxfId="122" priority="14" stopIfTrue="1">
      <formula>ISERROR(C67)</formula>
    </cfRule>
  </conditionalFormatting>
  <conditionalFormatting sqref="C67:J67">
    <cfRule type="cellIs" dxfId="121" priority="13" operator="equal">
      <formula>0</formula>
    </cfRule>
  </conditionalFormatting>
  <conditionalFormatting sqref="C69:J69 I71:J71">
    <cfRule type="expression" dxfId="120" priority="12" stopIfTrue="1">
      <formula>ISERROR(C69)</formula>
    </cfRule>
  </conditionalFormatting>
  <conditionalFormatting sqref="C71">
    <cfRule type="expression" dxfId="119" priority="11" stopIfTrue="1">
      <formula>ISERROR(C71)</formula>
    </cfRule>
  </conditionalFormatting>
  <conditionalFormatting sqref="C69:J69">
    <cfRule type="cellIs" dxfId="118" priority="10" operator="equal">
      <formula>0</formula>
    </cfRule>
  </conditionalFormatting>
  <conditionalFormatting sqref="F71">
    <cfRule type="expression" dxfId="117" priority="9" stopIfTrue="1">
      <formula>ISERROR(F71)</formula>
    </cfRule>
  </conditionalFormatting>
  <conditionalFormatting sqref="E71">
    <cfRule type="expression" dxfId="116" priority="8" stopIfTrue="1">
      <formula>ISERROR(E71)</formula>
    </cfRule>
  </conditionalFormatting>
  <conditionalFormatting sqref="H71">
    <cfRule type="expression" dxfId="115" priority="7" stopIfTrue="1">
      <formula>ISERROR(H71)</formula>
    </cfRule>
  </conditionalFormatting>
  <conditionalFormatting sqref="J72">
    <cfRule type="expression" dxfId="114" priority="6" stopIfTrue="1">
      <formula>ISERROR(J72)</formula>
    </cfRule>
  </conditionalFormatting>
  <conditionalFormatting sqref="C62:J62">
    <cfRule type="expression" dxfId="113" priority="5" stopIfTrue="1">
      <formula>ISERROR(C62)</formula>
    </cfRule>
  </conditionalFormatting>
  <conditionalFormatting sqref="C62:J62">
    <cfRule type="cellIs" dxfId="112" priority="4" operator="equal">
      <formula>0</formula>
    </cfRule>
  </conditionalFormatting>
  <conditionalFormatting sqref="J71">
    <cfRule type="cellIs" dxfId="111" priority="3" operator="equal">
      <formula>0</formula>
    </cfRule>
  </conditionalFormatting>
  <conditionalFormatting sqref="C63:J63">
    <cfRule type="cellIs" dxfId="110" priority="2" operator="equal">
      <formula>0</formula>
    </cfRule>
  </conditionalFormatting>
  <dataValidations count="3">
    <dataValidation type="list" allowBlank="1" showInputMessage="1" showErrorMessage="1" sqref="C45:E45">
      <formula1>"Standard Single Lane, Urban Compact"</formula1>
    </dataValidation>
    <dataValidation type="list" allowBlank="1" showInputMessage="1" showErrorMessage="1" sqref="E88:J88">
      <formula1>$U$43:$U$44</formula1>
    </dataValidation>
    <dataValidation type="list" allowBlank="1" showInputMessage="1" showErrorMessage="1" sqref="I116:J118 E86:J87">
      <formula1>$C$12:$J$12</formula1>
    </dataValidation>
  </dataValidations>
  <pageMargins left="0.7" right="0.7" top="0.75" bottom="0.75" header="0.3" footer="0.3"/>
  <pageSetup scale="99" orientation="portrait" r:id="rId1"/>
  <headerFooter>
    <oddHeader>&amp;L&amp;G&amp;CRoundabout Analysis Tool
Mini Roundabout&amp;R&amp;D
Version 4.2</oddHeader>
    <oddFooter>&amp;R&amp;10Georgia Department of Transportation
Office of Traffic Operations</oddFooter>
  </headerFooter>
  <rowBreaks count="1" manualBreakCount="1">
    <brk id="47" max="9"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39997558519241921"/>
  </sheetPr>
  <dimension ref="A1:AA200"/>
  <sheetViews>
    <sheetView zoomScaleNormal="100" workbookViewId="0">
      <selection activeCell="P93" sqref="P93"/>
    </sheetView>
  </sheetViews>
  <sheetFormatPr defaultRowHeight="15" x14ac:dyDescent="0.25"/>
  <cols>
    <col min="1" max="1" width="15" style="363" customWidth="1"/>
    <col min="2" max="2" width="8" customWidth="1"/>
    <col min="3" max="10" width="8.42578125" customWidth="1"/>
    <col min="11" max="11" width="9.140625" style="123"/>
    <col min="12" max="12" width="16.5703125" style="123" customWidth="1"/>
    <col min="13" max="13" width="9.140625" style="123"/>
    <col min="14" max="14" width="22" style="123" customWidth="1"/>
    <col min="15" max="15" width="2.7109375" style="123" customWidth="1"/>
    <col min="16" max="16" width="13" style="123" customWidth="1"/>
    <col min="17" max="17" width="13.42578125" style="123" customWidth="1"/>
    <col min="18" max="18" width="9.140625" style="123"/>
    <col min="19" max="19" width="9.5703125" style="123" bestFit="1" customWidth="1"/>
    <col min="20" max="27" width="9.140625" style="123"/>
  </cols>
  <sheetData>
    <row r="1" spans="1:27" ht="15.75" thickBot="1" x14ac:dyDescent="0.3">
      <c r="A1" s="838" t="s">
        <v>12</v>
      </c>
      <c r="B1" s="839"/>
      <c r="C1" s="840"/>
      <c r="D1" s="840"/>
      <c r="E1" s="840"/>
      <c r="F1" s="840"/>
      <c r="G1" s="841" t="str">
        <f>'START HERE'!H2</f>
        <v>v 4.2</v>
      </c>
      <c r="H1" s="577"/>
      <c r="I1" s="577"/>
      <c r="J1" s="578"/>
      <c r="L1" s="258"/>
      <c r="W1" s="255"/>
      <c r="X1" s="327"/>
      <c r="Y1" s="255"/>
      <c r="Z1" s="255"/>
      <c r="AA1" s="255"/>
    </row>
    <row r="2" spans="1:27" ht="15.75" thickTop="1" x14ac:dyDescent="0.25">
      <c r="A2" s="523" t="s">
        <v>13</v>
      </c>
      <c r="B2" s="912">
        <f>'START HERE'!C9</f>
        <v>0</v>
      </c>
      <c r="C2" s="912"/>
      <c r="D2" s="912"/>
      <c r="E2" s="912"/>
      <c r="F2" s="912"/>
      <c r="G2" s="912"/>
      <c r="H2" s="575"/>
      <c r="I2" s="575"/>
      <c r="J2" s="579"/>
      <c r="M2" s="128"/>
      <c r="N2" s="143"/>
      <c r="O2" s="128"/>
      <c r="P2" s="128"/>
      <c r="Q2" s="128"/>
      <c r="W2" s="255"/>
      <c r="X2" s="328"/>
      <c r="Y2" s="255"/>
      <c r="Z2" s="255"/>
      <c r="AA2" s="255"/>
    </row>
    <row r="3" spans="1:27" x14ac:dyDescent="0.25">
      <c r="A3" s="797" t="s">
        <v>332</v>
      </c>
      <c r="B3" s="913">
        <f>'START HERE'!C10</f>
        <v>0</v>
      </c>
      <c r="C3" s="913"/>
      <c r="D3" s="913"/>
      <c r="E3" s="913"/>
      <c r="F3" s="913"/>
      <c r="G3" s="913"/>
      <c r="H3" s="575"/>
      <c r="I3" s="575"/>
      <c r="J3" s="579"/>
      <c r="L3" s="302" t="s">
        <v>253</v>
      </c>
      <c r="M3" s="302"/>
      <c r="O3" s="128"/>
      <c r="P3" s="128"/>
      <c r="Q3" s="128"/>
      <c r="W3" s="255"/>
      <c r="X3" s="255"/>
      <c r="Y3" s="255"/>
      <c r="Z3" s="255"/>
      <c r="AA3" s="255"/>
    </row>
    <row r="4" spans="1:27" x14ac:dyDescent="0.25">
      <c r="A4" s="231" t="s">
        <v>15</v>
      </c>
      <c r="B4" s="914">
        <f>'START HERE'!C11</f>
        <v>0</v>
      </c>
      <c r="C4" s="914"/>
      <c r="D4" s="914"/>
      <c r="E4" s="914"/>
      <c r="F4" s="914"/>
      <c r="G4" s="914"/>
      <c r="H4" s="575"/>
      <c r="I4" s="575"/>
      <c r="J4" s="579"/>
      <c r="L4" s="298" t="s">
        <v>246</v>
      </c>
      <c r="M4" s="292" t="s">
        <v>245</v>
      </c>
      <c r="O4" s="128"/>
      <c r="P4" s="143"/>
      <c r="Q4" s="143"/>
      <c r="W4" s="255"/>
      <c r="X4" s="255"/>
      <c r="Y4" s="447"/>
      <c r="Z4" s="447"/>
      <c r="AA4" s="447"/>
    </row>
    <row r="5" spans="1:27" x14ac:dyDescent="0.25">
      <c r="A5" s="231" t="s">
        <v>330</v>
      </c>
      <c r="B5" s="913">
        <f>'START HERE'!C12</f>
        <v>0</v>
      </c>
      <c r="C5" s="913"/>
      <c r="D5" s="913"/>
      <c r="E5" s="913"/>
      <c r="F5" s="913"/>
      <c r="G5" s="913"/>
      <c r="H5" s="575"/>
      <c r="I5" s="575"/>
      <c r="J5" s="579"/>
      <c r="L5" s="297" t="s">
        <v>48</v>
      </c>
      <c r="M5" s="296">
        <f>'START HERE'!$AC$22</f>
        <v>0</v>
      </c>
      <c r="O5" s="126"/>
      <c r="P5" s="126"/>
      <c r="Q5" s="126"/>
      <c r="R5" s="124"/>
      <c r="W5" s="329"/>
      <c r="X5" s="330"/>
      <c r="Y5" s="447"/>
      <c r="Z5" s="447"/>
      <c r="AA5" s="447"/>
    </row>
    <row r="6" spans="1:27" x14ac:dyDescent="0.25">
      <c r="A6" s="231" t="s">
        <v>252</v>
      </c>
      <c r="B6" s="915">
        <f>'START HERE'!C13</f>
        <v>0</v>
      </c>
      <c r="C6" s="915"/>
      <c r="D6" s="915"/>
      <c r="E6" s="915"/>
      <c r="F6" s="915"/>
      <c r="G6" s="915"/>
      <c r="H6" s="575"/>
      <c r="I6" s="575"/>
      <c r="J6" s="579"/>
      <c r="K6" s="591"/>
      <c r="L6" s="297" t="s">
        <v>49</v>
      </c>
      <c r="M6" s="296">
        <f>'START HERE'!$X$43</f>
        <v>0</v>
      </c>
      <c r="O6" s="126"/>
      <c r="P6" s="126"/>
      <c r="Q6" s="126"/>
      <c r="R6" s="124"/>
      <c r="W6" s="333"/>
      <c r="X6" s="328"/>
      <c r="Y6" s="447"/>
      <c r="Z6" s="447"/>
      <c r="AA6" s="447"/>
    </row>
    <row r="7" spans="1:27" x14ac:dyDescent="0.25">
      <c r="A7" s="231" t="s">
        <v>144</v>
      </c>
      <c r="B7" s="916">
        <f>'START HERE'!C14</f>
        <v>0</v>
      </c>
      <c r="C7" s="916"/>
      <c r="D7" s="916"/>
      <c r="E7" s="916"/>
      <c r="F7" s="916"/>
      <c r="G7" s="916"/>
      <c r="H7" s="575"/>
      <c r="I7" s="575"/>
      <c r="J7" s="579"/>
      <c r="L7" s="297" t="s">
        <v>50</v>
      </c>
      <c r="M7" s="296">
        <f>'START HERE'!$AE$33</f>
        <v>0</v>
      </c>
      <c r="O7" s="128"/>
      <c r="P7" s="128"/>
      <c r="Q7" s="128"/>
      <c r="W7" s="334"/>
      <c r="X7" s="255"/>
      <c r="Y7" s="447"/>
      <c r="Z7" s="447"/>
      <c r="AA7" s="447"/>
    </row>
    <row r="8" spans="1:27" x14ac:dyDescent="0.25">
      <c r="A8" s="917" t="s">
        <v>333</v>
      </c>
      <c r="B8" s="918">
        <f>'START HERE'!C15</f>
        <v>0</v>
      </c>
      <c r="C8" s="918"/>
      <c r="D8" s="918"/>
      <c r="E8" s="918"/>
      <c r="F8" s="918"/>
      <c r="G8" s="918"/>
      <c r="H8" s="575"/>
      <c r="I8" s="575"/>
      <c r="J8" s="579"/>
      <c r="L8" s="297" t="s">
        <v>51</v>
      </c>
      <c r="M8" s="296">
        <f>'START HERE'!AA48</f>
        <v>0</v>
      </c>
      <c r="O8" s="128"/>
      <c r="W8" s="336"/>
      <c r="X8" s="255"/>
      <c r="Y8" s="447"/>
      <c r="Z8" s="447"/>
      <c r="AA8" s="447"/>
    </row>
    <row r="9" spans="1:27" x14ac:dyDescent="0.25">
      <c r="A9" s="917"/>
      <c r="B9" s="919"/>
      <c r="C9" s="919"/>
      <c r="D9" s="919"/>
      <c r="E9" s="919"/>
      <c r="F9" s="919"/>
      <c r="G9" s="919"/>
      <c r="H9" s="575"/>
      <c r="I9" s="575"/>
      <c r="J9" s="579"/>
      <c r="L9" s="297" t="s">
        <v>52</v>
      </c>
      <c r="M9" s="296">
        <f>'START HERE'!$X$39</f>
        <v>0</v>
      </c>
      <c r="O9" s="128"/>
      <c r="W9" s="337"/>
      <c r="X9" s="255"/>
      <c r="Y9" s="447"/>
      <c r="Z9" s="447"/>
      <c r="AA9" s="447"/>
    </row>
    <row r="10" spans="1:27" x14ac:dyDescent="0.25">
      <c r="A10" s="742"/>
      <c r="B10" s="575"/>
      <c r="C10" s="575"/>
      <c r="D10" s="575"/>
      <c r="E10" s="575"/>
      <c r="F10" s="575"/>
      <c r="G10" s="575"/>
      <c r="H10" s="575"/>
      <c r="I10" s="575"/>
      <c r="J10" s="579"/>
      <c r="L10" s="297" t="s">
        <v>53</v>
      </c>
      <c r="M10" s="296">
        <f>'START HERE'!$V$49</f>
        <v>0</v>
      </c>
      <c r="O10" s="128"/>
      <c r="W10" s="329"/>
      <c r="X10" s="255"/>
      <c r="Y10" s="447"/>
      <c r="Z10" s="447"/>
      <c r="AA10" s="447"/>
    </row>
    <row r="11" spans="1:27" s="61" customFormat="1" x14ac:dyDescent="0.25">
      <c r="A11" s="920" t="s">
        <v>1</v>
      </c>
      <c r="B11" s="921"/>
      <c r="C11" s="166"/>
      <c r="D11" s="166"/>
      <c r="E11" s="166"/>
      <c r="F11" s="806" t="s">
        <v>152</v>
      </c>
      <c r="G11" s="166"/>
      <c r="H11" s="166"/>
      <c r="I11" s="166"/>
      <c r="J11" s="600"/>
      <c r="K11" s="124"/>
      <c r="L11" s="297" t="s">
        <v>54</v>
      </c>
      <c r="M11" s="301">
        <f>'START HERE'!$V$27</f>
        <v>0</v>
      </c>
      <c r="N11" s="124"/>
      <c r="O11" s="128"/>
      <c r="P11" s="124"/>
      <c r="Q11" s="124"/>
      <c r="R11" s="123"/>
      <c r="S11" s="124"/>
      <c r="T11" s="124"/>
      <c r="U11" s="124"/>
      <c r="V11" s="124"/>
      <c r="W11" s="338"/>
      <c r="X11" s="255"/>
      <c r="Y11" s="447"/>
      <c r="Z11" s="447"/>
      <c r="AA11" s="447"/>
    </row>
    <row r="12" spans="1:27" s="61" customFormat="1" ht="15.75" thickBot="1" x14ac:dyDescent="0.3">
      <c r="A12" s="601"/>
      <c r="B12" s="602"/>
      <c r="C12" s="602" t="s">
        <v>48</v>
      </c>
      <c r="D12" s="602" t="s">
        <v>49</v>
      </c>
      <c r="E12" s="602" t="s">
        <v>50</v>
      </c>
      <c r="F12" s="602" t="s">
        <v>51</v>
      </c>
      <c r="G12" s="602" t="s">
        <v>52</v>
      </c>
      <c r="H12" s="602" t="s">
        <v>53</v>
      </c>
      <c r="I12" s="602" t="s">
        <v>54</v>
      </c>
      <c r="J12" s="603" t="s">
        <v>55</v>
      </c>
      <c r="K12" s="126"/>
      <c r="L12" s="297" t="s">
        <v>55</v>
      </c>
      <c r="M12" s="296">
        <f>'START HERE'!$V$43</f>
        <v>0</v>
      </c>
      <c r="N12" s="124"/>
      <c r="O12" s="128"/>
      <c r="P12" s="124"/>
      <c r="Q12" s="124"/>
      <c r="R12" s="123"/>
      <c r="S12" s="124"/>
      <c r="T12" s="124"/>
      <c r="U12" s="124"/>
      <c r="V12" s="124"/>
      <c r="W12" s="339"/>
      <c r="X12" s="329"/>
      <c r="Y12" s="447"/>
      <c r="Z12" s="447"/>
      <c r="AA12" s="447"/>
    </row>
    <row r="13" spans="1:27" ht="15.75" thickTop="1" x14ac:dyDescent="0.25">
      <c r="A13" s="910" t="s">
        <v>153</v>
      </c>
      <c r="B13" s="911"/>
      <c r="C13" s="62"/>
      <c r="D13" s="62"/>
      <c r="E13" s="62"/>
      <c r="F13" s="62"/>
      <c r="G13" s="62"/>
      <c r="H13" s="62"/>
      <c r="I13" s="62"/>
      <c r="J13" s="63"/>
      <c r="K13" s="128"/>
      <c r="L13" s="128"/>
      <c r="M13" s="126"/>
      <c r="N13" s="127"/>
      <c r="O13" s="128"/>
      <c r="W13" s="339"/>
      <c r="X13" s="333"/>
      <c r="Y13" s="255"/>
      <c r="Z13" s="340"/>
      <c r="AA13" s="340"/>
    </row>
    <row r="14" spans="1:27" x14ac:dyDescent="0.25">
      <c r="A14" s="910" t="s">
        <v>154</v>
      </c>
      <c r="B14" s="911"/>
      <c r="C14" s="581"/>
      <c r="D14" s="581"/>
      <c r="E14" s="581"/>
      <c r="F14" s="581"/>
      <c r="G14" s="581"/>
      <c r="H14" s="581"/>
      <c r="I14" s="581"/>
      <c r="J14" s="582"/>
      <c r="K14" s="126"/>
      <c r="L14" s="128"/>
      <c r="M14" s="126"/>
      <c r="N14" s="128"/>
      <c r="O14" s="128"/>
      <c r="W14" s="339"/>
      <c r="X14" s="338"/>
      <c r="Y14" s="255"/>
      <c r="Z14" s="255"/>
      <c r="AA14" s="255"/>
    </row>
    <row r="15" spans="1:27" x14ac:dyDescent="0.25">
      <c r="A15" s="910" t="s">
        <v>155</v>
      </c>
      <c r="B15" s="911"/>
      <c r="C15" s="581"/>
      <c r="D15" s="581"/>
      <c r="E15" s="581"/>
      <c r="F15" s="581"/>
      <c r="G15" s="581"/>
      <c r="H15" s="581"/>
      <c r="I15" s="581"/>
      <c r="J15" s="582"/>
      <c r="K15" s="128"/>
      <c r="L15" s="128"/>
      <c r="M15" s="186"/>
      <c r="O15" s="128"/>
      <c r="W15" s="341"/>
      <c r="X15" s="333"/>
      <c r="Y15" s="255"/>
      <c r="Z15" s="255"/>
      <c r="AA15" s="255"/>
    </row>
    <row r="16" spans="1:27" x14ac:dyDescent="0.25">
      <c r="A16" s="910" t="s">
        <v>156</v>
      </c>
      <c r="B16" s="911"/>
      <c r="C16" s="581"/>
      <c r="D16" s="581"/>
      <c r="E16" s="581"/>
      <c r="F16" s="581"/>
      <c r="G16" s="581"/>
      <c r="H16" s="581"/>
      <c r="I16" s="581"/>
      <c r="J16" s="582"/>
      <c r="K16" s="128"/>
      <c r="L16" s="128"/>
      <c r="M16" s="186"/>
      <c r="O16" s="128"/>
      <c r="W16" s="341"/>
      <c r="X16" s="333"/>
      <c r="Y16" s="255"/>
      <c r="Z16" s="255"/>
      <c r="AA16" s="255"/>
    </row>
    <row r="17" spans="1:27" x14ac:dyDescent="0.25">
      <c r="A17" s="910" t="s">
        <v>61</v>
      </c>
      <c r="B17" s="911"/>
      <c r="C17" s="581"/>
      <c r="D17" s="581"/>
      <c r="E17" s="581"/>
      <c r="F17" s="581"/>
      <c r="G17" s="581"/>
      <c r="H17" s="581"/>
      <c r="I17" s="581"/>
      <c r="J17" s="582"/>
      <c r="K17" s="128"/>
      <c r="L17" s="128"/>
      <c r="M17" s="131"/>
      <c r="O17" s="128"/>
      <c r="W17" s="253"/>
      <c r="X17" s="333"/>
      <c r="Y17" s="255"/>
      <c r="Z17" s="342"/>
      <c r="AA17" s="255"/>
    </row>
    <row r="18" spans="1:27" x14ac:dyDescent="0.25">
      <c r="A18" s="910" t="s">
        <v>62</v>
      </c>
      <c r="B18" s="911"/>
      <c r="C18" s="581"/>
      <c r="D18" s="581"/>
      <c r="E18" s="581"/>
      <c r="F18" s="581"/>
      <c r="G18" s="581"/>
      <c r="H18" s="581"/>
      <c r="I18" s="581"/>
      <c r="J18" s="582"/>
      <c r="K18" s="126"/>
      <c r="L18" s="126"/>
      <c r="M18" s="133"/>
      <c r="N18" s="227"/>
      <c r="O18" s="128"/>
      <c r="W18" s="343"/>
      <c r="X18" s="333"/>
      <c r="Y18" s="255"/>
      <c r="Z18" s="255"/>
      <c r="AA18" s="255"/>
    </row>
    <row r="19" spans="1:27" x14ac:dyDescent="0.25">
      <c r="A19" s="910" t="s">
        <v>63</v>
      </c>
      <c r="B19" s="911"/>
      <c r="C19" s="581"/>
      <c r="D19" s="581"/>
      <c r="E19" s="581"/>
      <c r="F19" s="581"/>
      <c r="G19" s="581"/>
      <c r="H19" s="581"/>
      <c r="I19" s="581"/>
      <c r="J19" s="582"/>
      <c r="K19" s="126"/>
      <c r="L19" s="126"/>
      <c r="N19" s="128"/>
    </row>
    <row r="20" spans="1:27" x14ac:dyDescent="0.25">
      <c r="A20" s="910" t="s">
        <v>64</v>
      </c>
      <c r="B20" s="911"/>
      <c r="C20" s="581"/>
      <c r="D20" s="581"/>
      <c r="E20" s="581"/>
      <c r="F20" s="581"/>
      <c r="G20" s="581"/>
      <c r="H20" s="581"/>
      <c r="I20" s="581"/>
      <c r="J20" s="582"/>
      <c r="K20" s="126"/>
      <c r="L20" s="126"/>
    </row>
    <row r="21" spans="1:27" x14ac:dyDescent="0.25">
      <c r="A21" s="910" t="s">
        <v>65</v>
      </c>
      <c r="B21" s="911"/>
      <c r="C21" s="207">
        <f>SUM(C13:C20)</f>
        <v>0</v>
      </c>
      <c r="D21" s="207">
        <f>SUM(D13:D20)</f>
        <v>0</v>
      </c>
      <c r="E21" s="207">
        <f t="shared" ref="E21:J21" si="0">SUM(E13:E20)</f>
        <v>0</v>
      </c>
      <c r="F21" s="207">
        <f t="shared" si="0"/>
        <v>0</v>
      </c>
      <c r="G21" s="207">
        <f>SUM(G13:G20)</f>
        <v>0</v>
      </c>
      <c r="H21" s="207">
        <f t="shared" si="0"/>
        <v>0</v>
      </c>
      <c r="I21" s="207">
        <f t="shared" si="0"/>
        <v>0</v>
      </c>
      <c r="J21" s="208">
        <f t="shared" si="0"/>
        <v>0</v>
      </c>
      <c r="K21" s="128"/>
      <c r="L21" s="129"/>
      <c r="N21" s="187" t="s">
        <v>147</v>
      </c>
      <c r="O21" s="188"/>
    </row>
    <row r="22" spans="1:27" x14ac:dyDescent="0.25">
      <c r="A22" s="580"/>
      <c r="B22" s="575"/>
      <c r="C22" s="575"/>
      <c r="D22" s="575"/>
      <c r="E22" s="575"/>
      <c r="F22" s="575"/>
      <c r="G22" s="575"/>
      <c r="H22" s="575"/>
      <c r="I22" s="575"/>
      <c r="J22" s="579"/>
      <c r="K22" s="128"/>
      <c r="L22" s="129"/>
      <c r="N22" s="158" t="s">
        <v>6</v>
      </c>
      <c r="O22" s="157"/>
      <c r="P22" s="157" t="s">
        <v>7</v>
      </c>
    </row>
    <row r="23" spans="1:27" x14ac:dyDescent="0.25">
      <c r="A23" s="924" t="s">
        <v>67</v>
      </c>
      <c r="B23" s="925"/>
      <c r="C23" s="795" t="s">
        <v>28</v>
      </c>
      <c r="D23" s="795" t="s">
        <v>29</v>
      </c>
      <c r="E23" s="795" t="s">
        <v>30</v>
      </c>
      <c r="F23" s="795" t="s">
        <v>31</v>
      </c>
      <c r="G23" s="795" t="s">
        <v>32</v>
      </c>
      <c r="H23" s="795" t="s">
        <v>33</v>
      </c>
      <c r="I23" s="795" t="s">
        <v>68</v>
      </c>
      <c r="J23" s="172" t="s">
        <v>35</v>
      </c>
      <c r="K23" s="130"/>
      <c r="L23" s="131"/>
      <c r="N23" s="156" t="s">
        <v>8</v>
      </c>
      <c r="O23" s="155"/>
      <c r="P23" s="209">
        <v>1</v>
      </c>
    </row>
    <row r="24" spans="1:27" x14ac:dyDescent="0.25">
      <c r="A24" s="926" t="s">
        <v>0</v>
      </c>
      <c r="B24" s="927"/>
      <c r="C24" s="787">
        <f>1-C25-C26</f>
        <v>1</v>
      </c>
      <c r="D24" s="787">
        <f t="shared" ref="D24:J24" si="1">1-D25-D26</f>
        <v>1</v>
      </c>
      <c r="E24" s="787">
        <f t="shared" si="1"/>
        <v>1</v>
      </c>
      <c r="F24" s="787">
        <f t="shared" si="1"/>
        <v>1</v>
      </c>
      <c r="G24" s="787">
        <f t="shared" si="1"/>
        <v>1</v>
      </c>
      <c r="H24" s="787">
        <f t="shared" si="1"/>
        <v>1</v>
      </c>
      <c r="I24" s="787">
        <f t="shared" si="1"/>
        <v>1</v>
      </c>
      <c r="J24" s="788">
        <f t="shared" si="1"/>
        <v>1</v>
      </c>
      <c r="K24" s="132"/>
      <c r="L24" s="133"/>
      <c r="N24" s="156" t="s">
        <v>270</v>
      </c>
      <c r="O24" s="155"/>
      <c r="P24" s="209">
        <v>2</v>
      </c>
    </row>
    <row r="25" spans="1:27" x14ac:dyDescent="0.25">
      <c r="A25" s="926" t="s">
        <v>268</v>
      </c>
      <c r="B25" s="927"/>
      <c r="C25" s="789">
        <v>0</v>
      </c>
      <c r="D25" s="789">
        <v>0</v>
      </c>
      <c r="E25" s="789">
        <v>0</v>
      </c>
      <c r="F25" s="789">
        <v>0</v>
      </c>
      <c r="G25" s="789">
        <v>0</v>
      </c>
      <c r="H25" s="789">
        <v>0</v>
      </c>
      <c r="I25" s="789">
        <v>0</v>
      </c>
      <c r="J25" s="786">
        <v>0</v>
      </c>
      <c r="K25" s="132"/>
      <c r="L25" s="129"/>
      <c r="M25" s="129"/>
      <c r="N25" s="156" t="s">
        <v>131</v>
      </c>
      <c r="O25" s="155"/>
      <c r="P25" s="209">
        <v>0.5</v>
      </c>
    </row>
    <row r="26" spans="1:27" x14ac:dyDescent="0.25">
      <c r="A26" s="926" t="s">
        <v>92</v>
      </c>
      <c r="B26" s="927"/>
      <c r="C26" s="789">
        <v>0</v>
      </c>
      <c r="D26" s="789">
        <v>0</v>
      </c>
      <c r="E26" s="789">
        <v>0</v>
      </c>
      <c r="F26" s="789">
        <v>0</v>
      </c>
      <c r="G26" s="789">
        <v>0</v>
      </c>
      <c r="H26" s="789">
        <v>0</v>
      </c>
      <c r="I26" s="789">
        <v>0</v>
      </c>
      <c r="J26" s="786">
        <v>0</v>
      </c>
      <c r="K26" s="132"/>
      <c r="L26" s="131"/>
      <c r="M26" s="131"/>
      <c r="N26" s="156"/>
      <c r="O26" s="155"/>
      <c r="P26" s="209"/>
    </row>
    <row r="27" spans="1:27" ht="15.75" thickBot="1" x14ac:dyDescent="0.3">
      <c r="A27" s="928" t="s">
        <v>271</v>
      </c>
      <c r="B27" s="929"/>
      <c r="C27" s="681">
        <v>0</v>
      </c>
      <c r="D27" s="681">
        <v>0</v>
      </c>
      <c r="E27" s="681">
        <v>0</v>
      </c>
      <c r="F27" s="681">
        <v>0</v>
      </c>
      <c r="G27" s="681">
        <v>0</v>
      </c>
      <c r="H27" s="681">
        <v>0</v>
      </c>
      <c r="I27" s="681">
        <v>0</v>
      </c>
      <c r="J27" s="682">
        <v>0</v>
      </c>
      <c r="K27" s="132"/>
      <c r="L27" s="134"/>
      <c r="M27" s="134"/>
      <c r="N27" s="128"/>
    </row>
    <row r="28" spans="1:27" ht="16.5" thickTop="1" thickBot="1" x14ac:dyDescent="0.3">
      <c r="A28" s="922" t="s">
        <v>5</v>
      </c>
      <c r="B28" s="923"/>
      <c r="C28" s="598">
        <v>0.95</v>
      </c>
      <c r="D28" s="598">
        <v>0.95</v>
      </c>
      <c r="E28" s="598">
        <v>0.95</v>
      </c>
      <c r="F28" s="598">
        <v>0.95</v>
      </c>
      <c r="G28" s="598">
        <v>0.95</v>
      </c>
      <c r="H28" s="598">
        <v>0.95</v>
      </c>
      <c r="I28" s="598">
        <v>0.95</v>
      </c>
      <c r="J28" s="609">
        <v>0.95</v>
      </c>
      <c r="K28" s="128"/>
      <c r="L28" s="128"/>
      <c r="M28" s="128"/>
      <c r="N28" s="160" t="s">
        <v>148</v>
      </c>
      <c r="O28" s="159"/>
      <c r="P28" s="210">
        <v>25</v>
      </c>
    </row>
    <row r="29" spans="1:27" ht="16.5" thickTop="1" x14ac:dyDescent="0.3">
      <c r="A29" s="930" t="s">
        <v>69</v>
      </c>
      <c r="B29" s="931"/>
      <c r="C29" s="120">
        <f>IF(C$21=0,1,1/(1+(C$25*($P$24-1))+(C$26*($P$25-1))))</f>
        <v>1</v>
      </c>
      <c r="D29" s="120">
        <f t="shared" ref="D29:J29" si="2">IF(D$21=0,1,1/(1+(D$25*($P$24-1))+(D$26*($P$25-1))))</f>
        <v>1</v>
      </c>
      <c r="E29" s="120">
        <f t="shared" si="2"/>
        <v>1</v>
      </c>
      <c r="F29" s="120">
        <f t="shared" si="2"/>
        <v>1</v>
      </c>
      <c r="G29" s="120">
        <f t="shared" si="2"/>
        <v>1</v>
      </c>
      <c r="H29" s="120">
        <f t="shared" si="2"/>
        <v>1</v>
      </c>
      <c r="I29" s="120">
        <f t="shared" si="2"/>
        <v>1</v>
      </c>
      <c r="J29" s="495">
        <f t="shared" si="2"/>
        <v>1</v>
      </c>
      <c r="K29" s="126"/>
      <c r="L29" s="129"/>
      <c r="M29" s="136"/>
      <c r="T29" s="255"/>
      <c r="U29" s="255"/>
      <c r="V29" s="255"/>
      <c r="W29" s="255"/>
    </row>
    <row r="30" spans="1:27" ht="15.75" x14ac:dyDescent="0.3">
      <c r="A30" s="926" t="s">
        <v>269</v>
      </c>
      <c r="B30" s="927"/>
      <c r="C30" s="503">
        <f t="shared" ref="C30:F30" si="3">IF(C42&gt;881,1,(IF(C27&lt;101,(1-(0.000137*C27)),((1119.5-(0.715*C42)-(0.644*C27)+(0.00073*C42*C27))/(1068.6-(0.654*C42))))))</f>
        <v>1</v>
      </c>
      <c r="D30" s="503">
        <f t="shared" si="3"/>
        <v>1</v>
      </c>
      <c r="E30" s="503">
        <f t="shared" si="3"/>
        <v>1</v>
      </c>
      <c r="F30" s="503">
        <f t="shared" si="3"/>
        <v>1</v>
      </c>
      <c r="G30" s="503">
        <f>IF(G42&gt;881,1,(IF(G27&lt;101,(1-(0.000137*G27)),((1119.5-(0.715*G42)-(0.644*G27)+(0.00073*G42*G27))/(1068.6-(0.654*G42))))))</f>
        <v>1</v>
      </c>
      <c r="H30" s="503">
        <f>IF(H42&gt;881,1,(IF(H27&lt;101,(1-(0.000137*H27)),((1119.5-(0.715*H42)-(0.644*H27)+(0.00073*H42*H27))/(1068.6-(0.654*H42))))))</f>
        <v>1</v>
      </c>
      <c r="I30" s="503">
        <f t="shared" ref="I30:J30" si="4">IF(I42&gt;881,1,(IF(I27&lt;101,(1-(0.000137*I27)),((1119.5-(0.715*I42)-(0.644*I27)+(0.00073*I42*I27))/(1068.6-(0.654*I42))))))</f>
        <v>1</v>
      </c>
      <c r="J30" s="524">
        <f t="shared" si="4"/>
        <v>1</v>
      </c>
      <c r="K30" s="385"/>
      <c r="L30" s="186"/>
      <c r="M30" s="136"/>
      <c r="N30" s="258"/>
      <c r="O30" s="258"/>
      <c r="P30" s="258"/>
      <c r="Q30" s="258"/>
      <c r="R30" s="258"/>
      <c r="S30" s="258"/>
      <c r="T30" s="255"/>
      <c r="U30" s="255"/>
      <c r="V30" s="255"/>
      <c r="W30" s="255"/>
      <c r="X30" s="258"/>
      <c r="Y30" s="258"/>
      <c r="Z30" s="258"/>
      <c r="AA30" s="258"/>
    </row>
    <row r="31" spans="1:27" x14ac:dyDescent="0.25">
      <c r="A31" s="580"/>
      <c r="B31" s="575"/>
      <c r="C31" s="575"/>
      <c r="D31" s="575"/>
      <c r="E31" s="575"/>
      <c r="F31" s="575"/>
      <c r="G31" s="575"/>
      <c r="H31" s="575"/>
      <c r="I31" s="575"/>
      <c r="J31" s="632"/>
      <c r="K31" s="132"/>
      <c r="L31" s="136"/>
      <c r="M31" s="129"/>
      <c r="R31" s="258"/>
      <c r="T31" s="344"/>
      <c r="U31" s="344"/>
      <c r="V31" s="344"/>
      <c r="W31" s="344"/>
    </row>
    <row r="32" spans="1:27" ht="15.75" customHeight="1" thickBot="1" x14ac:dyDescent="0.3">
      <c r="A32" s="920" t="s">
        <v>70</v>
      </c>
      <c r="B32" s="921"/>
      <c r="C32" s="808" t="s">
        <v>28</v>
      </c>
      <c r="D32" s="808" t="s">
        <v>29</v>
      </c>
      <c r="E32" s="808" t="s">
        <v>30</v>
      </c>
      <c r="F32" s="808" t="s">
        <v>31</v>
      </c>
      <c r="G32" s="808" t="s">
        <v>32</v>
      </c>
      <c r="H32" s="808" t="s">
        <v>33</v>
      </c>
      <c r="I32" s="808" t="s">
        <v>68</v>
      </c>
      <c r="J32" s="604" t="s">
        <v>35</v>
      </c>
      <c r="K32" s="132"/>
      <c r="L32" s="128"/>
      <c r="M32" s="128"/>
      <c r="N32" s="932"/>
      <c r="O32" s="932"/>
      <c r="P32" s="932"/>
      <c r="Q32" s="932"/>
      <c r="R32" s="254"/>
      <c r="S32" s="254"/>
      <c r="T32" s="344"/>
      <c r="U32" s="344" t="s">
        <v>267</v>
      </c>
      <c r="V32" s="344"/>
      <c r="W32" s="344"/>
    </row>
    <row r="33" spans="1:23" ht="15.75" thickTop="1" x14ac:dyDescent="0.25">
      <c r="A33" s="933" t="s">
        <v>71</v>
      </c>
      <c r="B33" s="934"/>
      <c r="C33" s="584">
        <f>C13/(C$28*C$29)</f>
        <v>0</v>
      </c>
      <c r="D33" s="584">
        <f t="shared" ref="C33:J40" si="5">D13/(D$28*D$29)</f>
        <v>0</v>
      </c>
      <c r="E33" s="584">
        <f t="shared" si="5"/>
        <v>0</v>
      </c>
      <c r="F33" s="584">
        <f t="shared" si="5"/>
        <v>0</v>
      </c>
      <c r="G33" s="584">
        <f t="shared" si="5"/>
        <v>0</v>
      </c>
      <c r="H33" s="584">
        <f t="shared" si="5"/>
        <v>0</v>
      </c>
      <c r="I33" s="584">
        <f t="shared" si="5"/>
        <v>0</v>
      </c>
      <c r="J33" s="585">
        <f t="shared" si="5"/>
        <v>0</v>
      </c>
      <c r="K33" s="204"/>
      <c r="L33" s="136"/>
      <c r="M33" s="128"/>
      <c r="N33" s="932"/>
      <c r="O33" s="932"/>
      <c r="P33" s="932"/>
      <c r="Q33" s="932"/>
      <c r="R33" s="254"/>
      <c r="S33" s="254"/>
      <c r="T33" s="344"/>
      <c r="U33" s="329" t="s">
        <v>48</v>
      </c>
      <c r="V33" s="345">
        <f>SUM(C33:J33)</f>
        <v>0</v>
      </c>
      <c r="W33" s="344"/>
    </row>
    <row r="34" spans="1:23" x14ac:dyDescent="0.25">
      <c r="A34" s="910" t="s">
        <v>72</v>
      </c>
      <c r="B34" s="911"/>
      <c r="C34" s="586">
        <f t="shared" si="5"/>
        <v>0</v>
      </c>
      <c r="D34" s="586">
        <f t="shared" si="5"/>
        <v>0</v>
      </c>
      <c r="E34" s="586">
        <f t="shared" si="5"/>
        <v>0</v>
      </c>
      <c r="F34" s="586">
        <f t="shared" si="5"/>
        <v>0</v>
      </c>
      <c r="G34" s="586">
        <f t="shared" si="5"/>
        <v>0</v>
      </c>
      <c r="H34" s="586">
        <f t="shared" si="5"/>
        <v>0</v>
      </c>
      <c r="I34" s="586">
        <f t="shared" si="5"/>
        <v>0</v>
      </c>
      <c r="J34" s="587">
        <f t="shared" si="5"/>
        <v>0</v>
      </c>
      <c r="K34" s="204"/>
      <c r="L34" s="137"/>
      <c r="M34" s="128"/>
      <c r="N34" s="254"/>
      <c r="O34" s="254"/>
      <c r="P34" s="125"/>
      <c r="Q34" s="352"/>
      <c r="R34" s="329"/>
      <c r="S34" s="338"/>
      <c r="T34" s="344"/>
      <c r="U34" s="329" t="s">
        <v>49</v>
      </c>
      <c r="V34" s="345">
        <f t="shared" ref="V34:V40" si="6">SUM(C34:J34)</f>
        <v>0</v>
      </c>
      <c r="W34" s="344"/>
    </row>
    <row r="35" spans="1:23" x14ac:dyDescent="0.25">
      <c r="A35" s="910" t="s">
        <v>73</v>
      </c>
      <c r="B35" s="911"/>
      <c r="C35" s="586">
        <f>C15/(C$28*C$29)</f>
        <v>0</v>
      </c>
      <c r="D35" s="586">
        <f t="shared" si="5"/>
        <v>0</v>
      </c>
      <c r="E35" s="586">
        <f t="shared" si="5"/>
        <v>0</v>
      </c>
      <c r="F35" s="586">
        <f t="shared" si="5"/>
        <v>0</v>
      </c>
      <c r="G35" s="586">
        <f t="shared" si="5"/>
        <v>0</v>
      </c>
      <c r="H35" s="586">
        <f t="shared" si="5"/>
        <v>0</v>
      </c>
      <c r="I35" s="586">
        <f t="shared" si="5"/>
        <v>0</v>
      </c>
      <c r="J35" s="587">
        <f t="shared" si="5"/>
        <v>0</v>
      </c>
      <c r="K35" s="204"/>
      <c r="L35" s="138"/>
      <c r="M35" s="128"/>
      <c r="N35" s="232"/>
      <c r="O35" s="353"/>
      <c r="P35" s="354"/>
      <c r="Q35" s="355"/>
      <c r="R35" s="333"/>
      <c r="S35" s="356"/>
      <c r="T35" s="344"/>
      <c r="U35" s="329" t="s">
        <v>50</v>
      </c>
      <c r="V35" s="345">
        <f t="shared" si="6"/>
        <v>0</v>
      </c>
      <c r="W35" s="344"/>
    </row>
    <row r="36" spans="1:23" x14ac:dyDescent="0.25">
      <c r="A36" s="910" t="s">
        <v>74</v>
      </c>
      <c r="B36" s="911"/>
      <c r="C36" s="586">
        <f t="shared" si="5"/>
        <v>0</v>
      </c>
      <c r="D36" s="586">
        <f t="shared" si="5"/>
        <v>0</v>
      </c>
      <c r="E36" s="586">
        <f t="shared" si="5"/>
        <v>0</v>
      </c>
      <c r="F36" s="586">
        <f t="shared" si="5"/>
        <v>0</v>
      </c>
      <c r="G36" s="586">
        <f t="shared" si="5"/>
        <v>0</v>
      </c>
      <c r="H36" s="586">
        <f t="shared" si="5"/>
        <v>0</v>
      </c>
      <c r="I36" s="586">
        <f t="shared" si="5"/>
        <v>0</v>
      </c>
      <c r="J36" s="587">
        <f t="shared" si="5"/>
        <v>0</v>
      </c>
      <c r="K36" s="204"/>
      <c r="L36" s="129"/>
      <c r="N36" s="143"/>
      <c r="O36" s="357"/>
      <c r="P36" s="354"/>
      <c r="Q36" s="355"/>
      <c r="R36" s="338"/>
      <c r="S36" s="338"/>
      <c r="T36" s="344"/>
      <c r="U36" s="329" t="s">
        <v>51</v>
      </c>
      <c r="V36" s="345">
        <f t="shared" si="6"/>
        <v>0</v>
      </c>
      <c r="W36" s="344"/>
    </row>
    <row r="37" spans="1:23" ht="15" customHeight="1" x14ac:dyDescent="0.25">
      <c r="A37" s="910" t="s">
        <v>75</v>
      </c>
      <c r="B37" s="911"/>
      <c r="C37" s="586">
        <f t="shared" si="5"/>
        <v>0</v>
      </c>
      <c r="D37" s="586">
        <f t="shared" si="5"/>
        <v>0</v>
      </c>
      <c r="E37" s="586">
        <f t="shared" si="5"/>
        <v>0</v>
      </c>
      <c r="F37" s="586">
        <f t="shared" si="5"/>
        <v>0</v>
      </c>
      <c r="G37" s="586">
        <f t="shared" si="5"/>
        <v>0</v>
      </c>
      <c r="H37" s="586">
        <f t="shared" si="5"/>
        <v>0</v>
      </c>
      <c r="I37" s="586">
        <f t="shared" si="5"/>
        <v>0</v>
      </c>
      <c r="J37" s="587">
        <f t="shared" si="5"/>
        <v>0</v>
      </c>
      <c r="K37" s="204"/>
      <c r="L37" s="137"/>
      <c r="N37" s="358"/>
      <c r="O37" s="359"/>
      <c r="P37" s="354"/>
      <c r="Q37" s="341"/>
      <c r="R37" s="333"/>
      <c r="S37" s="360"/>
      <c r="T37" s="344"/>
      <c r="U37" s="329" t="s">
        <v>52</v>
      </c>
      <c r="V37" s="345">
        <f t="shared" si="6"/>
        <v>0</v>
      </c>
      <c r="W37" s="344"/>
    </row>
    <row r="38" spans="1:23" x14ac:dyDescent="0.25">
      <c r="A38" s="910" t="s">
        <v>76</v>
      </c>
      <c r="B38" s="911"/>
      <c r="C38" s="586">
        <f t="shared" si="5"/>
        <v>0</v>
      </c>
      <c r="D38" s="586">
        <f t="shared" si="5"/>
        <v>0</v>
      </c>
      <c r="E38" s="586">
        <f t="shared" si="5"/>
        <v>0</v>
      </c>
      <c r="F38" s="586">
        <f t="shared" si="5"/>
        <v>0</v>
      </c>
      <c r="G38" s="586">
        <f t="shared" si="5"/>
        <v>0</v>
      </c>
      <c r="H38" s="586">
        <f t="shared" si="5"/>
        <v>0</v>
      </c>
      <c r="I38" s="586">
        <f t="shared" si="5"/>
        <v>0</v>
      </c>
      <c r="J38" s="587">
        <f t="shared" si="5"/>
        <v>0</v>
      </c>
      <c r="K38" s="204"/>
      <c r="L38" s="128"/>
      <c r="N38" s="358"/>
      <c r="O38" s="131"/>
      <c r="P38" s="354"/>
      <c r="Q38" s="355"/>
      <c r="R38" s="333"/>
      <c r="S38" s="360"/>
      <c r="T38" s="344"/>
      <c r="U38" s="329" t="s">
        <v>53</v>
      </c>
      <c r="V38" s="345">
        <f t="shared" si="6"/>
        <v>0</v>
      </c>
      <c r="W38" s="344"/>
    </row>
    <row r="39" spans="1:23" x14ac:dyDescent="0.25">
      <c r="A39" s="910" t="s">
        <v>77</v>
      </c>
      <c r="B39" s="911"/>
      <c r="C39" s="586">
        <f t="shared" si="5"/>
        <v>0</v>
      </c>
      <c r="D39" s="586">
        <f t="shared" si="5"/>
        <v>0</v>
      </c>
      <c r="E39" s="586">
        <f t="shared" si="5"/>
        <v>0</v>
      </c>
      <c r="F39" s="586">
        <f t="shared" si="5"/>
        <v>0</v>
      </c>
      <c r="G39" s="586">
        <f t="shared" si="5"/>
        <v>0</v>
      </c>
      <c r="H39" s="586">
        <f t="shared" si="5"/>
        <v>0</v>
      </c>
      <c r="I39" s="586">
        <f t="shared" si="5"/>
        <v>0</v>
      </c>
      <c r="J39" s="587">
        <f t="shared" si="5"/>
        <v>0</v>
      </c>
      <c r="K39" s="204"/>
      <c r="N39" s="358"/>
      <c r="O39" s="131"/>
      <c r="P39" s="354"/>
      <c r="Q39" s="355"/>
      <c r="R39" s="333"/>
      <c r="S39" s="361"/>
      <c r="T39" s="344"/>
      <c r="U39" s="329" t="s">
        <v>54</v>
      </c>
      <c r="V39" s="345">
        <f t="shared" si="6"/>
        <v>0</v>
      </c>
      <c r="W39" s="344"/>
    </row>
    <row r="40" spans="1:23" x14ac:dyDescent="0.25">
      <c r="A40" s="910" t="s">
        <v>78</v>
      </c>
      <c r="B40" s="911"/>
      <c r="C40" s="586">
        <f t="shared" si="5"/>
        <v>0</v>
      </c>
      <c r="D40" s="586">
        <f t="shared" si="5"/>
        <v>0</v>
      </c>
      <c r="E40" s="586">
        <f t="shared" si="5"/>
        <v>0</v>
      </c>
      <c r="F40" s="586">
        <f t="shared" si="5"/>
        <v>0</v>
      </c>
      <c r="G40" s="586">
        <f t="shared" si="5"/>
        <v>0</v>
      </c>
      <c r="H40" s="586">
        <f t="shared" si="5"/>
        <v>0</v>
      </c>
      <c r="I40" s="586">
        <f t="shared" si="5"/>
        <v>0</v>
      </c>
      <c r="J40" s="587">
        <f t="shared" si="5"/>
        <v>0</v>
      </c>
      <c r="K40" s="204"/>
      <c r="N40" s="358"/>
      <c r="O40" s="353"/>
      <c r="P40" s="354"/>
      <c r="Q40" s="355"/>
      <c r="R40" s="333"/>
      <c r="S40" s="338"/>
      <c r="T40" s="344"/>
      <c r="U40" s="329" t="s">
        <v>55</v>
      </c>
      <c r="V40" s="345">
        <f t="shared" si="6"/>
        <v>0</v>
      </c>
      <c r="W40" s="344"/>
    </row>
    <row r="41" spans="1:23" x14ac:dyDescent="0.25">
      <c r="A41" s="910" t="s">
        <v>79</v>
      </c>
      <c r="B41" s="911"/>
      <c r="C41" s="586">
        <f t="shared" ref="C41:J41" si="7">SUM(C33:C40)</f>
        <v>0</v>
      </c>
      <c r="D41" s="586">
        <f t="shared" si="7"/>
        <v>0</v>
      </c>
      <c r="E41" s="586">
        <f t="shared" si="7"/>
        <v>0</v>
      </c>
      <c r="F41" s="586">
        <f t="shared" si="7"/>
        <v>0</v>
      </c>
      <c r="G41" s="586">
        <f t="shared" si="7"/>
        <v>0</v>
      </c>
      <c r="H41" s="586">
        <f t="shared" si="7"/>
        <v>0</v>
      </c>
      <c r="I41" s="586">
        <f t="shared" si="7"/>
        <v>0</v>
      </c>
      <c r="J41" s="587">
        <f t="shared" si="7"/>
        <v>0</v>
      </c>
      <c r="K41" s="204"/>
      <c r="N41" s="305"/>
      <c r="O41" s="348"/>
      <c r="P41" s="349"/>
      <c r="T41" s="344"/>
      <c r="U41" s="344"/>
      <c r="V41" s="345"/>
      <c r="W41" s="344"/>
    </row>
    <row r="42" spans="1:23" x14ac:dyDescent="0.25">
      <c r="A42" s="910" t="s">
        <v>80</v>
      </c>
      <c r="B42" s="911"/>
      <c r="C42" s="586">
        <f>IF(SUM(C33:C41)=0,0,SUM(D34:D40)+SUM(E35:E40)+SUM(F36:F40)+SUM(G37:G40)+SUM(H38:H40)+SUM(I39:I40)+SUM(J40))</f>
        <v>0</v>
      </c>
      <c r="D42" s="586">
        <f>IF(SUM(D33:D41)=0,0,SUM(C33)+E33+SUM(E35:E40)+SUM(F36:F40)+F33+G33+SUM(G37:G40)+SUM(H38:H40)+H33+I33+SUM(I39:I40)+J33+J40)</f>
        <v>0</v>
      </c>
      <c r="E42" s="586">
        <f>IF(SUM(E33:E41)=0,0, SUM(C33:C34)+SUM(D34)+SUM(F33:F34)+SUM(F36:F40)+SUM(G33:G34)+SUM(G37:G40)+SUM(H33:H34)+SUM(H38:H40)+SUM(I33:I34)+SUM(I39:I40)+SUM(J33:J34)+J40)</f>
        <v>0</v>
      </c>
      <c r="F42" s="586">
        <f>IF(SUM(F33:F41)=0,0,SUM(C33:C35)+SUM(D34:D35)+SUM(E35)+SUM(G33:G35)+SUM(G37:G40)+SUM(H33:H35)+SUM(H38:H40)+SUM(I33:I35)+SUM(I39:I40)+SUM(J33:J35)+J40)</f>
        <v>0</v>
      </c>
      <c r="G42" s="586">
        <f>IF(SUM(G33:G41)=0,0,SUM(C33:C36)+SUM(D34:D36)+SUM(E35:E36)+SUM(F36)+SUM(H33:H36)+SUM(H38:H40)+SUM(I33:I36)+SUM(I39:I40)+SUM(J33:J36)+J40)</f>
        <v>0</v>
      </c>
      <c r="H42" s="586">
        <f>IF(SUM(H33:H41)=0,0,SUM(C33:C37)+SUM(D34:D37)+SUM(E35:E37)+SUM(F36:F37)+SUM(G37)+SUM(I33:I37)+SUM(I39:I40)+SUM(J33:J37)+J40)</f>
        <v>0</v>
      </c>
      <c r="I42" s="586">
        <f>IF(SUM(I33:I41)=0,0,SUM(C33:C38)+SUM(D34:D38)+SUM(E35:E38)+SUM(F36:F38)+SUM(G37:G38)+H38+SUM(J33:J38)+J40)</f>
        <v>0</v>
      </c>
      <c r="J42" s="587">
        <f>IF(SUM(J33:J41)=0,0,SUM(C33:C39)+SUM(D34:D39)+SUM(E35:E39)+SUM(F36:F39)+SUM(G37:G39)+SUM(H38:H39)+I39)</f>
        <v>0</v>
      </c>
      <c r="K42" s="204"/>
      <c r="T42" s="255"/>
      <c r="U42" s="255"/>
      <c r="V42" s="256"/>
      <c r="W42" s="255"/>
    </row>
    <row r="43" spans="1:23" x14ac:dyDescent="0.25">
      <c r="A43" s="580"/>
      <c r="B43" s="575"/>
      <c r="C43" s="575"/>
      <c r="D43" s="575"/>
      <c r="E43" s="575"/>
      <c r="F43" s="575"/>
      <c r="G43" s="575"/>
      <c r="H43" s="575"/>
      <c r="I43" s="575"/>
      <c r="J43" s="525"/>
      <c r="T43" s="255"/>
      <c r="U43" s="447" t="s">
        <v>238</v>
      </c>
      <c r="V43" s="255"/>
      <c r="W43" s="255"/>
    </row>
    <row r="44" spans="1:23" ht="15.75" hidden="1" thickBot="1" x14ac:dyDescent="0.3">
      <c r="A44" s="920" t="s">
        <v>94</v>
      </c>
      <c r="B44" s="921"/>
      <c r="C44" s="169" t="s">
        <v>262</v>
      </c>
      <c r="D44" s="808"/>
      <c r="E44" s="808"/>
      <c r="F44" s="808"/>
      <c r="G44" s="808"/>
      <c r="H44" s="808"/>
      <c r="I44" s="808"/>
      <c r="J44" s="604"/>
      <c r="U44" s="447" t="s">
        <v>239</v>
      </c>
    </row>
    <row r="45" spans="1:23" ht="15.75" hidden="1" thickTop="1" x14ac:dyDescent="0.25">
      <c r="A45" s="937" t="s">
        <v>130</v>
      </c>
      <c r="B45" s="938"/>
      <c r="C45" s="935" t="s">
        <v>261</v>
      </c>
      <c r="D45" s="936"/>
      <c r="E45" s="936"/>
      <c r="F45" s="575"/>
      <c r="G45" s="575"/>
      <c r="H45" s="575"/>
      <c r="I45" s="575"/>
      <c r="J45" s="526"/>
    </row>
    <row r="46" spans="1:23" hidden="1" x14ac:dyDescent="0.25">
      <c r="A46" s="580"/>
      <c r="B46" s="590"/>
      <c r="C46" s="590"/>
      <c r="D46" s="590"/>
      <c r="E46" s="590"/>
      <c r="F46" s="590"/>
      <c r="G46" s="590"/>
      <c r="H46" s="590"/>
      <c r="I46" s="590"/>
      <c r="J46" s="625"/>
    </row>
    <row r="47" spans="1:23" ht="36.75" customHeight="1" x14ac:dyDescent="0.25">
      <c r="A47" s="580"/>
      <c r="B47" s="575"/>
      <c r="C47" s="575"/>
      <c r="D47" s="575"/>
      <c r="E47" s="575"/>
      <c r="F47" s="575"/>
      <c r="G47" s="575"/>
      <c r="H47" s="575"/>
      <c r="I47" s="575"/>
      <c r="J47" s="579"/>
    </row>
    <row r="48" spans="1:23" ht="15.75" thickBot="1" x14ac:dyDescent="0.3">
      <c r="A48" s="941" t="s">
        <v>202</v>
      </c>
      <c r="B48" s="942"/>
      <c r="C48" s="942"/>
      <c r="D48" s="942"/>
      <c r="E48" s="942"/>
      <c r="F48" s="942"/>
      <c r="G48" s="942"/>
      <c r="H48" s="942"/>
      <c r="I48" s="942"/>
      <c r="J48" s="943"/>
      <c r="K48" s="593"/>
    </row>
    <row r="49" spans="1:27" ht="15.75" hidden="1" thickTop="1" x14ac:dyDescent="0.25">
      <c r="A49" s="944" t="s">
        <v>340</v>
      </c>
      <c r="B49" s="945"/>
      <c r="C49" s="793" t="s">
        <v>28</v>
      </c>
      <c r="D49" s="793" t="s">
        <v>29</v>
      </c>
      <c r="E49" s="793" t="s">
        <v>30</v>
      </c>
      <c r="F49" s="793" t="s">
        <v>31</v>
      </c>
      <c r="G49" s="793" t="s">
        <v>32</v>
      </c>
      <c r="H49" s="793" t="s">
        <v>33</v>
      </c>
      <c r="I49" s="793" t="s">
        <v>68</v>
      </c>
      <c r="J49" s="171" t="s">
        <v>35</v>
      </c>
    </row>
    <row r="50" spans="1:27" hidden="1" x14ac:dyDescent="0.25">
      <c r="A50" s="946" t="s">
        <v>334</v>
      </c>
      <c r="B50" s="947"/>
      <c r="C50" s="790" t="str">
        <f t="shared" ref="C50:J50" si="8">IF((COUNTBLANK(C13:C20)=8),"NA",(1103*EXP(-0.0009*C42))*C29*C30)</f>
        <v>NA</v>
      </c>
      <c r="D50" s="790" t="str">
        <f t="shared" si="8"/>
        <v>NA</v>
      </c>
      <c r="E50" s="790" t="str">
        <f t="shared" si="8"/>
        <v>NA</v>
      </c>
      <c r="F50" s="790" t="str">
        <f t="shared" si="8"/>
        <v>NA</v>
      </c>
      <c r="G50" s="790" t="str">
        <f t="shared" si="8"/>
        <v>NA</v>
      </c>
      <c r="H50" s="790" t="str">
        <f t="shared" si="8"/>
        <v>NA</v>
      </c>
      <c r="I50" s="790" t="str">
        <f t="shared" si="8"/>
        <v>NA</v>
      </c>
      <c r="J50" s="791" t="str">
        <f t="shared" si="8"/>
        <v>NA</v>
      </c>
    </row>
    <row r="51" spans="1:27" ht="14.25" hidden="1" customHeight="1" x14ac:dyDescent="0.25">
      <c r="A51" s="948" t="s">
        <v>335</v>
      </c>
      <c r="B51" s="949"/>
      <c r="C51" s="584">
        <f>IF(C50="NA",,C41*C29)</f>
        <v>0</v>
      </c>
      <c r="D51" s="584">
        <f t="shared" ref="D51:J51" si="9">IF(D50="NA",,D41*D29)</f>
        <v>0</v>
      </c>
      <c r="E51" s="584">
        <f t="shared" si="9"/>
        <v>0</v>
      </c>
      <c r="F51" s="584">
        <f t="shared" si="9"/>
        <v>0</v>
      </c>
      <c r="G51" s="584">
        <f t="shared" si="9"/>
        <v>0</v>
      </c>
      <c r="H51" s="584">
        <f t="shared" si="9"/>
        <v>0</v>
      </c>
      <c r="I51" s="584">
        <f t="shared" si="9"/>
        <v>0</v>
      </c>
      <c r="J51" s="585">
        <f t="shared" si="9"/>
        <v>0</v>
      </c>
    </row>
    <row r="52" spans="1:27" hidden="1" x14ac:dyDescent="0.25">
      <c r="A52" s="939" t="s">
        <v>203</v>
      </c>
      <c r="B52" s="940"/>
      <c r="C52" s="180" t="e">
        <f t="shared" ref="C52:D52" si="10">C51/C50</f>
        <v>#VALUE!</v>
      </c>
      <c r="D52" s="180" t="e">
        <f t="shared" si="10"/>
        <v>#VALUE!</v>
      </c>
      <c r="E52" s="180" t="e">
        <f>E51/E50</f>
        <v>#VALUE!</v>
      </c>
      <c r="F52" s="180" t="e">
        <f t="shared" ref="F52:J52" si="11">F51/F50</f>
        <v>#VALUE!</v>
      </c>
      <c r="G52" s="180" t="e">
        <f t="shared" si="11"/>
        <v>#VALUE!</v>
      </c>
      <c r="H52" s="180" t="e">
        <f t="shared" si="11"/>
        <v>#VALUE!</v>
      </c>
      <c r="I52" s="180" t="e">
        <f t="shared" si="11"/>
        <v>#VALUE!</v>
      </c>
      <c r="J52" s="182" t="e">
        <f t="shared" si="11"/>
        <v>#VALUE!</v>
      </c>
    </row>
    <row r="53" spans="1:27" hidden="1" x14ac:dyDescent="0.25">
      <c r="A53" s="939" t="s">
        <v>311</v>
      </c>
      <c r="B53" s="940"/>
      <c r="C53" s="235" t="e">
        <f>3600/C50+900*0.25*(C52-1+SQRT((C52-1)^2+((3600/C50)*C52)/(450*0.25)))+(5*(MIN(C52,1)))</f>
        <v>#VALUE!</v>
      </c>
      <c r="D53" s="235" t="e">
        <f t="shared" ref="D53:J53" si="12">3600/D50+900*0.25*(D52-1+SQRT((D52-1)^2+((3600/D50)*D52)/(450*0.25)))+(5*(MIN(D52,1)))</f>
        <v>#VALUE!</v>
      </c>
      <c r="E53" s="235" t="e">
        <f t="shared" si="12"/>
        <v>#VALUE!</v>
      </c>
      <c r="F53" s="235" t="e">
        <f t="shared" si="12"/>
        <v>#VALUE!</v>
      </c>
      <c r="G53" s="235" t="e">
        <f t="shared" si="12"/>
        <v>#VALUE!</v>
      </c>
      <c r="H53" s="235" t="e">
        <f t="shared" si="12"/>
        <v>#VALUE!</v>
      </c>
      <c r="I53" s="235" t="e">
        <f t="shared" si="12"/>
        <v>#VALUE!</v>
      </c>
      <c r="J53" s="183" t="e">
        <f t="shared" si="12"/>
        <v>#VALUE!</v>
      </c>
      <c r="P53" s="140"/>
      <c r="Q53" s="140"/>
      <c r="R53" s="140"/>
      <c r="S53" s="140"/>
      <c r="T53" s="140"/>
      <c r="U53" s="140"/>
      <c r="V53" s="140"/>
      <c r="W53" s="142"/>
    </row>
    <row r="54" spans="1:27" hidden="1" x14ac:dyDescent="0.25">
      <c r="A54" s="948" t="s">
        <v>85</v>
      </c>
      <c r="B54" s="949"/>
      <c r="C54" s="588" t="e">
        <f t="shared" ref="C54:J54" si="13">VLOOKUP(C53,$V75:$W80,2,TRUE)</f>
        <v>#VALUE!</v>
      </c>
      <c r="D54" s="588" t="e">
        <f t="shared" si="13"/>
        <v>#VALUE!</v>
      </c>
      <c r="E54" s="588" t="e">
        <f t="shared" si="13"/>
        <v>#VALUE!</v>
      </c>
      <c r="F54" s="588" t="e">
        <f t="shared" si="13"/>
        <v>#VALUE!</v>
      </c>
      <c r="G54" s="588" t="e">
        <f t="shared" si="13"/>
        <v>#VALUE!</v>
      </c>
      <c r="H54" s="588" t="e">
        <f t="shared" si="13"/>
        <v>#VALUE!</v>
      </c>
      <c r="I54" s="588" t="e">
        <f t="shared" si="13"/>
        <v>#VALUE!</v>
      </c>
      <c r="J54" s="589" t="e">
        <f t="shared" si="13"/>
        <v>#VALUE!</v>
      </c>
      <c r="P54" s="140"/>
      <c r="Q54" s="140"/>
      <c r="R54" s="140"/>
      <c r="S54" s="140"/>
      <c r="T54" s="140"/>
      <c r="U54" s="140"/>
      <c r="V54" s="140"/>
      <c r="W54" s="141"/>
    </row>
    <row r="55" spans="1:27" hidden="1" x14ac:dyDescent="0.25">
      <c r="A55" s="797"/>
      <c r="B55" s="797" t="s">
        <v>180</v>
      </c>
      <c r="C55" s="588" t="e">
        <f t="shared" ref="C55:J55" si="14">VLOOKUP(C53,$V83:$W88,2,TRUE)</f>
        <v>#VALUE!</v>
      </c>
      <c r="D55" s="588" t="e">
        <f t="shared" si="14"/>
        <v>#VALUE!</v>
      </c>
      <c r="E55" s="588" t="e">
        <f t="shared" si="14"/>
        <v>#VALUE!</v>
      </c>
      <c r="F55" s="588" t="e">
        <f t="shared" si="14"/>
        <v>#VALUE!</v>
      </c>
      <c r="G55" s="588" t="e">
        <f t="shared" si="14"/>
        <v>#VALUE!</v>
      </c>
      <c r="H55" s="588" t="e">
        <f t="shared" si="14"/>
        <v>#VALUE!</v>
      </c>
      <c r="I55" s="588" t="e">
        <f t="shared" si="14"/>
        <v>#VALUE!</v>
      </c>
      <c r="J55" s="589" t="e">
        <f t="shared" si="14"/>
        <v>#VALUE!</v>
      </c>
      <c r="K55" s="593"/>
      <c r="P55" s="140"/>
      <c r="Q55" s="140"/>
      <c r="R55" s="140"/>
      <c r="S55" s="140"/>
      <c r="T55" s="140"/>
      <c r="U55" s="140"/>
      <c r="V55" s="140"/>
      <c r="W55" s="141"/>
    </row>
    <row r="56" spans="1:27" s="223" customFormat="1" ht="15" hidden="1" customHeight="1" x14ac:dyDescent="0.25">
      <c r="A56" s="809"/>
      <c r="B56" s="809" t="s">
        <v>212</v>
      </c>
      <c r="C56" s="226" t="e">
        <f>""&amp;C54&amp;" / "&amp;C55&amp;"*"</f>
        <v>#VALUE!</v>
      </c>
      <c r="D56" s="226" t="e">
        <f>""&amp;D54&amp;" / "&amp;D55&amp;"*"</f>
        <v>#VALUE!</v>
      </c>
      <c r="E56" s="226" t="e">
        <f t="shared" ref="E56:J56" si="15">""&amp;E54&amp;" / "&amp;E55&amp;"*"</f>
        <v>#VALUE!</v>
      </c>
      <c r="F56" s="226" t="e">
        <f t="shared" si="15"/>
        <v>#VALUE!</v>
      </c>
      <c r="G56" s="226" t="e">
        <f t="shared" si="15"/>
        <v>#VALUE!</v>
      </c>
      <c r="H56" s="226" t="e">
        <f t="shared" si="15"/>
        <v>#VALUE!</v>
      </c>
      <c r="I56" s="226" t="e">
        <f t="shared" si="15"/>
        <v>#VALUE!</v>
      </c>
      <c r="J56" s="230" t="e">
        <f t="shared" si="15"/>
        <v>#VALUE!</v>
      </c>
      <c r="K56" s="219"/>
      <c r="L56" s="220"/>
      <c r="M56" s="220"/>
      <c r="N56" s="220"/>
      <c r="O56" s="220"/>
      <c r="P56" s="221"/>
      <c r="Q56" s="221"/>
      <c r="R56" s="221"/>
      <c r="S56" s="221"/>
      <c r="T56" s="221"/>
      <c r="U56" s="221"/>
      <c r="V56" s="221"/>
      <c r="W56" s="222"/>
      <c r="X56" s="220"/>
      <c r="Y56" s="220"/>
      <c r="Z56" s="220"/>
      <c r="AA56" s="220"/>
    </row>
    <row r="57" spans="1:27" hidden="1" x14ac:dyDescent="0.25">
      <c r="A57" s="797"/>
      <c r="B57" s="174" t="s">
        <v>10</v>
      </c>
      <c r="C57" s="597" t="e">
        <f>225*(C52-1+SQRT((1-C52)^2+((3600/C50)*C52/37.5)))*(C50/3600)</f>
        <v>#VALUE!</v>
      </c>
      <c r="D57" s="597" t="e">
        <f t="shared" ref="D57:J57" si="16">225*(D52-1+SQRT((1-D52)^2+((3600/D50)*D52/37.5)))*(D50/3600)</f>
        <v>#VALUE!</v>
      </c>
      <c r="E57" s="597" t="e">
        <f t="shared" si="16"/>
        <v>#VALUE!</v>
      </c>
      <c r="F57" s="597" t="e">
        <f t="shared" si="16"/>
        <v>#VALUE!</v>
      </c>
      <c r="G57" s="597" t="e">
        <f t="shared" si="16"/>
        <v>#VALUE!</v>
      </c>
      <c r="H57" s="597" t="e">
        <f t="shared" si="16"/>
        <v>#VALUE!</v>
      </c>
      <c r="I57" s="597" t="e">
        <f t="shared" si="16"/>
        <v>#VALUE!</v>
      </c>
      <c r="J57" s="607" t="e">
        <f t="shared" si="16"/>
        <v>#VALUE!</v>
      </c>
      <c r="P57" s="140"/>
      <c r="Q57" s="140"/>
      <c r="R57" s="140"/>
      <c r="S57" s="140"/>
      <c r="T57" s="140"/>
      <c r="U57" s="140"/>
      <c r="V57" s="140"/>
      <c r="W57" s="141"/>
    </row>
    <row r="58" spans="1:27" hidden="1" x14ac:dyDescent="0.25">
      <c r="A58" s="939" t="s">
        <v>138</v>
      </c>
      <c r="B58" s="940"/>
      <c r="C58" s="235" t="e">
        <f t="shared" ref="C58:J58" si="17">(C57*($P$28/C29))</f>
        <v>#VALUE!</v>
      </c>
      <c r="D58" s="235" t="e">
        <f t="shared" si="17"/>
        <v>#VALUE!</v>
      </c>
      <c r="E58" s="235" t="e">
        <f t="shared" si="17"/>
        <v>#VALUE!</v>
      </c>
      <c r="F58" s="235" t="e">
        <f t="shared" si="17"/>
        <v>#VALUE!</v>
      </c>
      <c r="G58" s="235" t="e">
        <f t="shared" si="17"/>
        <v>#VALUE!</v>
      </c>
      <c r="H58" s="235" t="e">
        <f t="shared" si="17"/>
        <v>#VALUE!</v>
      </c>
      <c r="I58" s="235" t="e">
        <f t="shared" si="17"/>
        <v>#VALUE!</v>
      </c>
      <c r="J58" s="183" t="e">
        <f t="shared" si="17"/>
        <v>#VALUE!</v>
      </c>
      <c r="P58" s="140"/>
      <c r="Q58" s="140"/>
      <c r="R58" s="140"/>
      <c r="S58" s="140"/>
      <c r="T58" s="140"/>
      <c r="U58" s="140"/>
      <c r="V58" s="140"/>
      <c r="W58" s="141"/>
    </row>
    <row r="59" spans="1:27" ht="15.75" thickTop="1" x14ac:dyDescent="0.25">
      <c r="A59" s="950" t="s">
        <v>342</v>
      </c>
      <c r="B59" s="951"/>
      <c r="C59" s="795" t="s">
        <v>28</v>
      </c>
      <c r="D59" s="795" t="s">
        <v>29</v>
      </c>
      <c r="E59" s="795" t="s">
        <v>30</v>
      </c>
      <c r="F59" s="795" t="s">
        <v>31</v>
      </c>
      <c r="G59" s="795" t="s">
        <v>32</v>
      </c>
      <c r="H59" s="795" t="s">
        <v>33</v>
      </c>
      <c r="I59" s="795" t="s">
        <v>68</v>
      </c>
      <c r="J59" s="172" t="s">
        <v>35</v>
      </c>
      <c r="K59" s="593"/>
      <c r="P59" s="140"/>
      <c r="Q59" s="140"/>
      <c r="R59" s="140"/>
      <c r="S59" s="140"/>
      <c r="T59" s="140"/>
      <c r="U59" s="140"/>
      <c r="V59" s="140"/>
      <c r="W59" s="141"/>
    </row>
    <row r="60" spans="1:27" x14ac:dyDescent="0.25">
      <c r="A60" s="948" t="s">
        <v>334</v>
      </c>
      <c r="B60" s="949"/>
      <c r="C60" s="584" t="str">
        <f t="shared" ref="C60:J60" si="18">IF((COUNTBLANK(C13:C20)=8),"NA",(1380*EXP(-0.00102*C42))*C29*C30)</f>
        <v>NA</v>
      </c>
      <c r="D60" s="584" t="str">
        <f t="shared" si="18"/>
        <v>NA</v>
      </c>
      <c r="E60" s="584" t="str">
        <f t="shared" si="18"/>
        <v>NA</v>
      </c>
      <c r="F60" s="584" t="str">
        <f t="shared" si="18"/>
        <v>NA</v>
      </c>
      <c r="G60" s="584" t="str">
        <f t="shared" si="18"/>
        <v>NA</v>
      </c>
      <c r="H60" s="584" t="str">
        <f t="shared" si="18"/>
        <v>NA</v>
      </c>
      <c r="I60" s="584" t="str">
        <f t="shared" si="18"/>
        <v>NA</v>
      </c>
      <c r="J60" s="585" t="str">
        <f t="shared" si="18"/>
        <v>NA</v>
      </c>
      <c r="K60" s="593"/>
      <c r="P60" s="140"/>
      <c r="Q60" s="140"/>
      <c r="R60" s="140"/>
      <c r="S60" s="140"/>
      <c r="T60" s="140"/>
      <c r="U60" s="140"/>
      <c r="V60" s="140"/>
      <c r="W60" s="141"/>
    </row>
    <row r="61" spans="1:27" ht="15" customHeight="1" x14ac:dyDescent="0.25">
      <c r="A61" s="948" t="s">
        <v>335</v>
      </c>
      <c r="B61" s="949"/>
      <c r="C61" s="584">
        <f>IF(C60="NA",,C41*C29)</f>
        <v>0</v>
      </c>
      <c r="D61" s="584">
        <f>IF(D60="NA",,D41*D29)</f>
        <v>0</v>
      </c>
      <c r="E61" s="584">
        <f t="shared" ref="E61:J61" si="19">IF(E60="NA",,E41*E29)</f>
        <v>0</v>
      </c>
      <c r="F61" s="584">
        <f t="shared" si="19"/>
        <v>0</v>
      </c>
      <c r="G61" s="584">
        <f t="shared" si="19"/>
        <v>0</v>
      </c>
      <c r="H61" s="584">
        <f t="shared" si="19"/>
        <v>0</v>
      </c>
      <c r="I61" s="584">
        <f t="shared" si="19"/>
        <v>0</v>
      </c>
      <c r="J61" s="585">
        <f t="shared" si="19"/>
        <v>0</v>
      </c>
      <c r="K61" s="593"/>
      <c r="P61" s="185"/>
      <c r="Q61" s="185"/>
      <c r="R61" s="185"/>
      <c r="S61" s="185"/>
      <c r="T61" s="185"/>
      <c r="U61" s="185"/>
      <c r="V61" s="185"/>
      <c r="W61" s="141"/>
    </row>
    <row r="62" spans="1:27" x14ac:dyDescent="0.25">
      <c r="A62" s="939" t="s">
        <v>203</v>
      </c>
      <c r="B62" s="940"/>
      <c r="C62" s="180">
        <f>IF(C60="NA",,C61/C60)</f>
        <v>0</v>
      </c>
      <c r="D62" s="180">
        <f t="shared" ref="D62:J62" si="20">IF(D60="NA",,D61/D60)</f>
        <v>0</v>
      </c>
      <c r="E62" s="180">
        <f t="shared" si="20"/>
        <v>0</v>
      </c>
      <c r="F62" s="180">
        <f t="shared" si="20"/>
        <v>0</v>
      </c>
      <c r="G62" s="180">
        <f t="shared" si="20"/>
        <v>0</v>
      </c>
      <c r="H62" s="180">
        <f t="shared" si="20"/>
        <v>0</v>
      </c>
      <c r="I62" s="180">
        <f t="shared" si="20"/>
        <v>0</v>
      </c>
      <c r="J62" s="182">
        <f t="shared" si="20"/>
        <v>0</v>
      </c>
      <c r="K62" s="593"/>
      <c r="P62" s="140"/>
      <c r="Q62" s="140"/>
      <c r="R62" s="140"/>
      <c r="S62" s="140"/>
      <c r="T62" s="140"/>
      <c r="U62" s="140"/>
      <c r="V62" s="140"/>
      <c r="W62" s="141"/>
    </row>
    <row r="63" spans="1:27" s="123" customFormat="1" x14ac:dyDescent="0.25">
      <c r="A63" s="939" t="s">
        <v>204</v>
      </c>
      <c r="B63" s="940"/>
      <c r="C63" s="706">
        <f>IFERROR(3600/C60+225*(C62-1+SQRT((C62-1)^2+((3600/C60)*C62/112.5)))+(5*(MIN(C62,1))),)</f>
        <v>0</v>
      </c>
      <c r="D63" s="706">
        <f t="shared" ref="D63:J63" si="21">IFERROR(3600/D60+225*(D62-1+SQRT((D62-1)^2+((3600/D60)*D62/112.5)))+(5*(MIN(D62,1))),)</f>
        <v>0</v>
      </c>
      <c r="E63" s="706">
        <f t="shared" si="21"/>
        <v>0</v>
      </c>
      <c r="F63" s="706">
        <f t="shared" si="21"/>
        <v>0</v>
      </c>
      <c r="G63" s="706">
        <f t="shared" si="21"/>
        <v>0</v>
      </c>
      <c r="H63" s="706">
        <f t="shared" si="21"/>
        <v>0</v>
      </c>
      <c r="I63" s="706">
        <f t="shared" si="21"/>
        <v>0</v>
      </c>
      <c r="J63" s="864">
        <f t="shared" si="21"/>
        <v>0</v>
      </c>
      <c r="K63" s="593"/>
      <c r="P63" s="140"/>
      <c r="Q63" s="140"/>
      <c r="R63" s="140"/>
      <c r="S63" s="140"/>
      <c r="T63" s="140"/>
      <c r="U63" s="140"/>
      <c r="V63" s="140"/>
      <c r="W63" s="141"/>
    </row>
    <row r="64" spans="1:27" s="220" customFormat="1" ht="15" customHeight="1" x14ac:dyDescent="0.25">
      <c r="A64" s="952" t="s">
        <v>85</v>
      </c>
      <c r="B64" s="953"/>
      <c r="C64" s="226" t="e">
        <f t="shared" ref="C64:J64" si="22">VLOOKUP(C63,$V75:$W80,2,TRUE)</f>
        <v>#N/A</v>
      </c>
      <c r="D64" s="226" t="e">
        <f t="shared" si="22"/>
        <v>#N/A</v>
      </c>
      <c r="E64" s="226" t="e">
        <f t="shared" si="22"/>
        <v>#N/A</v>
      </c>
      <c r="F64" s="226" t="e">
        <f t="shared" si="22"/>
        <v>#N/A</v>
      </c>
      <c r="G64" s="226" t="e">
        <f t="shared" si="22"/>
        <v>#N/A</v>
      </c>
      <c r="H64" s="226" t="e">
        <f t="shared" si="22"/>
        <v>#N/A</v>
      </c>
      <c r="I64" s="226" t="e">
        <f t="shared" si="22"/>
        <v>#N/A</v>
      </c>
      <c r="J64" s="230" t="e">
        <f t="shared" si="22"/>
        <v>#N/A</v>
      </c>
      <c r="K64" s="219"/>
      <c r="P64" s="221"/>
      <c r="Q64" s="221"/>
      <c r="R64" s="221"/>
      <c r="S64" s="221"/>
      <c r="T64" s="221"/>
      <c r="U64" s="221"/>
      <c r="V64" s="221"/>
      <c r="W64" s="222"/>
    </row>
    <row r="65" spans="1:23" s="220" customFormat="1" ht="15" hidden="1" customHeight="1" x14ac:dyDescent="0.25">
      <c r="A65" s="854"/>
      <c r="B65" s="855" t="s">
        <v>356</v>
      </c>
      <c r="C65" s="860">
        <f>C61*C63/3600</f>
        <v>0</v>
      </c>
      <c r="D65" s="860">
        <f t="shared" ref="D65:J65" si="23">D61*D63/3600</f>
        <v>0</v>
      </c>
      <c r="E65" s="860">
        <f t="shared" si="23"/>
        <v>0</v>
      </c>
      <c r="F65" s="860">
        <f t="shared" si="23"/>
        <v>0</v>
      </c>
      <c r="G65" s="860">
        <f t="shared" si="23"/>
        <v>0</v>
      </c>
      <c r="H65" s="860">
        <f t="shared" si="23"/>
        <v>0</v>
      </c>
      <c r="I65" s="860">
        <f t="shared" si="23"/>
        <v>0</v>
      </c>
      <c r="J65" s="861">
        <f t="shared" si="23"/>
        <v>0</v>
      </c>
      <c r="K65" s="219"/>
      <c r="P65" s="849"/>
      <c r="Q65" s="849"/>
      <c r="R65" s="849"/>
      <c r="S65" s="849"/>
      <c r="T65" s="849"/>
      <c r="U65" s="849"/>
      <c r="V65" s="849"/>
      <c r="W65" s="222"/>
    </row>
    <row r="66" spans="1:23" s="123" customFormat="1" hidden="1" x14ac:dyDescent="0.25">
      <c r="A66" s="813"/>
      <c r="B66" s="174" t="s">
        <v>10</v>
      </c>
      <c r="C66" s="597" t="e">
        <f>225*(C62-1+SQRT((1-C62)^2+((3600/C60)*C62/37.5)))*(C60/3600)</f>
        <v>#VALUE!</v>
      </c>
      <c r="D66" s="597" t="e">
        <f t="shared" ref="D66:J66" si="24">225*(D62-1+SQRT((1-D62)^2+((3600/D60)*D62/37.5)))*(D60/3600)</f>
        <v>#VALUE!</v>
      </c>
      <c r="E66" s="597" t="e">
        <f>225*(E62-1+SQRT((1-E62)^2+((3600/E60)*E62/37.5)))*(E60/3600)</f>
        <v>#VALUE!</v>
      </c>
      <c r="F66" s="597" t="e">
        <f t="shared" si="24"/>
        <v>#VALUE!</v>
      </c>
      <c r="G66" s="597" t="e">
        <f t="shared" si="24"/>
        <v>#VALUE!</v>
      </c>
      <c r="H66" s="597" t="e">
        <f t="shared" si="24"/>
        <v>#VALUE!</v>
      </c>
      <c r="I66" s="597" t="e">
        <f t="shared" si="24"/>
        <v>#VALUE!</v>
      </c>
      <c r="J66" s="607" t="e">
        <f t="shared" si="24"/>
        <v>#VALUE!</v>
      </c>
      <c r="K66" s="593"/>
      <c r="P66" s="140"/>
      <c r="Q66" s="140"/>
      <c r="R66" s="140"/>
      <c r="S66" s="140"/>
      <c r="T66" s="140"/>
      <c r="U66" s="140"/>
      <c r="V66" s="140"/>
      <c r="W66" s="141"/>
    </row>
    <row r="67" spans="1:23" s="591" customFormat="1" x14ac:dyDescent="0.25">
      <c r="A67" s="939" t="s">
        <v>354</v>
      </c>
      <c r="B67" s="940"/>
      <c r="C67" s="586">
        <f>ROUND(C65*$P$28,)</f>
        <v>0</v>
      </c>
      <c r="D67" s="586">
        <f t="shared" ref="D67:J67" si="25">ROUND(D65*$P$28,)</f>
        <v>0</v>
      </c>
      <c r="E67" s="586">
        <f t="shared" si="25"/>
        <v>0</v>
      </c>
      <c r="F67" s="586">
        <f t="shared" si="25"/>
        <v>0</v>
      </c>
      <c r="G67" s="586">
        <f t="shared" si="25"/>
        <v>0</v>
      </c>
      <c r="H67" s="586">
        <f t="shared" si="25"/>
        <v>0</v>
      </c>
      <c r="I67" s="586">
        <f t="shared" si="25"/>
        <v>0</v>
      </c>
      <c r="J67" s="861">
        <f t="shared" si="25"/>
        <v>0</v>
      </c>
      <c r="K67" s="593"/>
      <c r="P67" s="595"/>
      <c r="Q67" s="595"/>
      <c r="R67" s="595"/>
      <c r="S67" s="595"/>
      <c r="T67" s="595"/>
      <c r="U67" s="595"/>
      <c r="V67" s="595"/>
      <c r="W67" s="596"/>
    </row>
    <row r="68" spans="1:23" s="123" customFormat="1" x14ac:dyDescent="0.25">
      <c r="A68" s="939" t="s">
        <v>138</v>
      </c>
      <c r="B68" s="940"/>
      <c r="C68" s="873" t="e">
        <f t="shared" ref="C68:J68" si="26">(C66*($P$28/C29))</f>
        <v>#VALUE!</v>
      </c>
      <c r="D68" s="235" t="e">
        <f t="shared" si="26"/>
        <v>#VALUE!</v>
      </c>
      <c r="E68" s="235" t="e">
        <f t="shared" si="26"/>
        <v>#VALUE!</v>
      </c>
      <c r="F68" s="235" t="e">
        <f t="shared" si="26"/>
        <v>#VALUE!</v>
      </c>
      <c r="G68" s="235" t="e">
        <f t="shared" si="26"/>
        <v>#VALUE!</v>
      </c>
      <c r="H68" s="235" t="e">
        <f t="shared" si="26"/>
        <v>#VALUE!</v>
      </c>
      <c r="I68" s="235" t="e">
        <f t="shared" si="26"/>
        <v>#VALUE!</v>
      </c>
      <c r="J68" s="183" t="e">
        <f t="shared" si="26"/>
        <v>#VALUE!</v>
      </c>
      <c r="P68" s="140"/>
      <c r="Q68" s="140"/>
      <c r="R68" s="140"/>
      <c r="S68" s="140"/>
      <c r="T68" s="140"/>
      <c r="U68" s="140"/>
      <c r="V68" s="140"/>
      <c r="W68" s="141"/>
    </row>
    <row r="69" spans="1:23" s="591" customFormat="1" ht="4.9000000000000004" customHeight="1" x14ac:dyDescent="0.25">
      <c r="A69" s="863"/>
      <c r="B69" s="869"/>
      <c r="C69" s="874"/>
      <c r="D69" s="238"/>
      <c r="E69" s="238"/>
      <c r="F69" s="238"/>
      <c r="G69" s="238"/>
      <c r="H69" s="238"/>
      <c r="I69" s="238"/>
      <c r="J69" s="859"/>
      <c r="P69" s="595"/>
      <c r="Q69" s="595"/>
      <c r="R69" s="595"/>
      <c r="S69" s="595"/>
      <c r="T69" s="595"/>
      <c r="U69" s="595"/>
      <c r="V69" s="595"/>
      <c r="W69" s="596"/>
    </row>
    <row r="70" spans="1:23" s="591" customFormat="1" ht="15.75" thickBot="1" x14ac:dyDescent="0.3">
      <c r="A70" s="941" t="s">
        <v>357</v>
      </c>
      <c r="B70" s="942"/>
      <c r="C70" s="942"/>
      <c r="D70" s="942"/>
      <c r="E70" s="942"/>
      <c r="F70" s="942"/>
      <c r="G70" s="942"/>
      <c r="H70" s="942"/>
      <c r="I70" s="942"/>
      <c r="J70" s="943"/>
      <c r="P70" s="595"/>
      <c r="Q70" s="595"/>
      <c r="R70" s="595"/>
      <c r="S70" s="595"/>
      <c r="T70" s="595"/>
      <c r="U70" s="595"/>
      <c r="V70" s="595"/>
      <c r="W70" s="596"/>
    </row>
    <row r="71" spans="1:23" s="591" customFormat="1" ht="15.75" thickTop="1" x14ac:dyDescent="0.25">
      <c r="A71" s="850" t="s">
        <v>355</v>
      </c>
      <c r="B71" s="862"/>
      <c r="C71" s="957" t="e">
        <f>SUMPRODUCT(C61:J61,C63:J63)/SUM(C61:J61)</f>
        <v>#DIV/0!</v>
      </c>
      <c r="D71" s="958"/>
      <c r="E71" s="871" t="s">
        <v>358</v>
      </c>
      <c r="F71" s="959" t="e">
        <f>VLOOKUP(C71,$V75:$W80,2,TRUE)</f>
        <v>#DIV/0!</v>
      </c>
      <c r="G71" s="960"/>
      <c r="H71" s="871" t="s">
        <v>359</v>
      </c>
      <c r="I71" s="872"/>
      <c r="J71" s="877">
        <f>MAXA(C62,D62,E62,F62,G62,H62,I62,J62)</f>
        <v>0</v>
      </c>
      <c r="P71" s="595"/>
      <c r="Q71" s="595"/>
      <c r="R71" s="595"/>
      <c r="S71" s="595"/>
      <c r="T71" s="595"/>
      <c r="U71" s="595"/>
      <c r="V71" s="595"/>
      <c r="W71" s="596"/>
    </row>
    <row r="72" spans="1:23" s="123" customFormat="1" ht="4.9000000000000004" customHeight="1" x14ac:dyDescent="0.25">
      <c r="A72" s="961"/>
      <c r="B72" s="962"/>
      <c r="C72" s="471"/>
      <c r="D72"/>
      <c r="E72"/>
      <c r="F72" s="727"/>
      <c r="G72" s="727"/>
      <c r="H72" s="727"/>
      <c r="I72" s="727"/>
      <c r="J72" s="859"/>
      <c r="P72" s="140"/>
      <c r="Q72" s="140"/>
      <c r="R72" s="140"/>
      <c r="S72" s="140"/>
      <c r="T72" s="140"/>
      <c r="U72" s="140"/>
    </row>
    <row r="73" spans="1:23" s="123" customFormat="1" ht="15" customHeight="1" x14ac:dyDescent="0.25">
      <c r="A73" s="954" t="s">
        <v>149</v>
      </c>
      <c r="B73" s="954"/>
      <c r="C73" s="462"/>
      <c r="D73" s="727"/>
      <c r="E73" s="727"/>
      <c r="F73" s="727"/>
      <c r="G73" s="727"/>
      <c r="H73" s="727"/>
      <c r="I73" s="727"/>
      <c r="J73" s="814" t="str">
        <f>'START HERE'!H2</f>
        <v>v 4.2</v>
      </c>
      <c r="P73" s="140"/>
      <c r="Q73" s="140"/>
      <c r="R73" s="140"/>
      <c r="S73" s="140"/>
      <c r="T73" s="140"/>
      <c r="U73" s="140"/>
      <c r="V73" s="135" t="s">
        <v>83</v>
      </c>
      <c r="W73" s="135"/>
    </row>
    <row r="74" spans="1:23" s="123" customFormat="1" ht="15" customHeight="1" x14ac:dyDescent="0.25">
      <c r="A74" s="645"/>
      <c r="B74" s="727"/>
      <c r="C74" s="727"/>
      <c r="D74" s="727"/>
      <c r="E74" s="727"/>
      <c r="F74" s="727"/>
      <c r="G74" s="727"/>
      <c r="H74" s="727"/>
      <c r="I74" s="727"/>
      <c r="J74" s="660"/>
      <c r="K74" s="254"/>
      <c r="P74" s="140"/>
      <c r="Q74" s="140"/>
      <c r="R74" s="140"/>
      <c r="S74" s="140"/>
      <c r="T74" s="140"/>
      <c r="U74" s="140"/>
      <c r="V74" s="139" t="s">
        <v>84</v>
      </c>
      <c r="W74" s="139" t="s">
        <v>181</v>
      </c>
    </row>
    <row r="75" spans="1:23" s="123" customFormat="1" ht="15.75" customHeight="1" x14ac:dyDescent="0.25">
      <c r="A75" s="645"/>
      <c r="B75" s="727"/>
      <c r="C75" s="727"/>
      <c r="D75" s="727"/>
      <c r="E75" s="727"/>
      <c r="F75" s="727"/>
      <c r="G75" s="727"/>
      <c r="H75" s="727"/>
      <c r="I75" s="727"/>
      <c r="J75" s="660"/>
      <c r="P75" s="140"/>
      <c r="Q75" s="140"/>
      <c r="R75" s="140"/>
      <c r="S75" s="140"/>
      <c r="T75" s="140"/>
      <c r="U75" s="140"/>
      <c r="V75" s="139">
        <v>0.01</v>
      </c>
      <c r="W75" s="139" t="s">
        <v>86</v>
      </c>
    </row>
    <row r="76" spans="1:23" s="123" customFormat="1" x14ac:dyDescent="0.25">
      <c r="A76" s="645"/>
      <c r="B76" s="727"/>
      <c r="C76" s="727"/>
      <c r="D76" s="727"/>
      <c r="E76" s="727"/>
      <c r="F76" s="727"/>
      <c r="G76" s="727"/>
      <c r="H76" s="810" t="s">
        <v>205</v>
      </c>
      <c r="I76" s="727"/>
      <c r="J76" s="660"/>
      <c r="P76" s="140"/>
      <c r="Q76" s="140"/>
      <c r="R76" s="140"/>
      <c r="S76" s="140"/>
      <c r="T76" s="140"/>
      <c r="U76" s="140"/>
      <c r="V76" s="139">
        <v>10</v>
      </c>
      <c r="W76" s="139" t="s">
        <v>87</v>
      </c>
    </row>
    <row r="77" spans="1:23" s="123" customFormat="1" x14ac:dyDescent="0.25">
      <c r="A77" s="645"/>
      <c r="B77" s="727"/>
      <c r="C77" s="727"/>
      <c r="D77" s="727"/>
      <c r="E77" s="727"/>
      <c r="F77" s="727"/>
      <c r="G77" s="727"/>
      <c r="H77" s="727" t="s">
        <v>206</v>
      </c>
      <c r="I77" s="727"/>
      <c r="J77" s="660"/>
      <c r="P77" s="140"/>
      <c r="Q77" s="140"/>
      <c r="R77" s="140"/>
      <c r="S77" s="140"/>
      <c r="T77" s="140"/>
      <c r="U77" s="140"/>
      <c r="V77" s="139">
        <v>15</v>
      </c>
      <c r="W77" s="139" t="s">
        <v>88</v>
      </c>
    </row>
    <row r="78" spans="1:23" s="123" customFormat="1" x14ac:dyDescent="0.25">
      <c r="A78" s="645"/>
      <c r="B78" s="727"/>
      <c r="C78" s="727"/>
      <c r="D78" s="727"/>
      <c r="E78" s="727"/>
      <c r="F78" s="727"/>
      <c r="G78" s="727"/>
      <c r="H78" s="727" t="s">
        <v>207</v>
      </c>
      <c r="I78" s="727"/>
      <c r="J78" s="660"/>
      <c r="P78" s="140"/>
      <c r="Q78" s="140"/>
      <c r="R78" s="140"/>
      <c r="S78" s="140"/>
      <c r="T78" s="140"/>
      <c r="U78" s="140"/>
      <c r="V78" s="139">
        <v>25</v>
      </c>
      <c r="W78" s="139" t="s">
        <v>47</v>
      </c>
    </row>
    <row r="79" spans="1:23" s="123" customFormat="1" ht="18" x14ac:dyDescent="0.35">
      <c r="A79" s="645"/>
      <c r="B79" s="727"/>
      <c r="C79" s="727"/>
      <c r="D79" s="727"/>
      <c r="E79" s="727"/>
      <c r="F79" s="727"/>
      <c r="G79" s="727"/>
      <c r="H79" s="462" t="s">
        <v>208</v>
      </c>
      <c r="I79" s="727"/>
      <c r="J79" s="660"/>
      <c r="P79" s="140"/>
      <c r="Q79" s="140"/>
      <c r="R79" s="140"/>
      <c r="S79" s="140"/>
      <c r="T79" s="140"/>
      <c r="U79" s="140"/>
      <c r="V79" s="139">
        <v>35</v>
      </c>
      <c r="W79" s="139" t="s">
        <v>30</v>
      </c>
    </row>
    <row r="80" spans="1:23" s="123" customFormat="1" x14ac:dyDescent="0.25">
      <c r="A80" s="645"/>
      <c r="B80" s="727"/>
      <c r="C80" s="727"/>
      <c r="D80" s="727"/>
      <c r="E80" s="727"/>
      <c r="F80" s="727"/>
      <c r="G80" s="727"/>
      <c r="H80" s="727" t="s">
        <v>209</v>
      </c>
      <c r="I80" s="727"/>
      <c r="J80" s="660"/>
      <c r="P80" s="140"/>
      <c r="Q80" s="140"/>
      <c r="R80" s="140"/>
      <c r="S80" s="140"/>
      <c r="T80" s="140"/>
      <c r="U80" s="140"/>
      <c r="V80" s="139">
        <v>50</v>
      </c>
      <c r="W80" s="139" t="s">
        <v>66</v>
      </c>
    </row>
    <row r="81" spans="1:23" s="123" customFormat="1" hidden="1" x14ac:dyDescent="0.25">
      <c r="A81" s="605"/>
      <c r="B81" s="727"/>
      <c r="C81" s="727"/>
      <c r="D81" s="727"/>
      <c r="E81" s="727"/>
      <c r="F81" s="727"/>
      <c r="G81" s="727"/>
      <c r="H81" s="727"/>
      <c r="I81" s="727"/>
      <c r="J81" s="660"/>
      <c r="P81" s="140"/>
      <c r="Q81" s="140"/>
      <c r="R81" s="140"/>
      <c r="S81" s="140"/>
      <c r="T81" s="140"/>
      <c r="U81" s="140"/>
      <c r="V81" s="326" t="s">
        <v>84</v>
      </c>
      <c r="W81" s="326" t="s">
        <v>182</v>
      </c>
    </row>
    <row r="82" spans="1:23" s="123" customFormat="1" ht="15.75" thickBot="1" x14ac:dyDescent="0.3">
      <c r="A82" s="266" t="s">
        <v>216</v>
      </c>
      <c r="B82" s="266"/>
      <c r="C82" s="267"/>
      <c r="D82" s="267"/>
      <c r="E82" s="267"/>
      <c r="F82" s="267"/>
      <c r="G82" s="267"/>
      <c r="H82" s="267"/>
      <c r="I82" s="267"/>
      <c r="J82" s="268"/>
      <c r="P82" s="140"/>
      <c r="Q82" s="140"/>
      <c r="R82" s="140"/>
      <c r="S82" s="140"/>
      <c r="T82" s="140"/>
      <c r="U82" s="140"/>
      <c r="V82" s="594" t="s">
        <v>84</v>
      </c>
      <c r="W82" s="594" t="s">
        <v>182</v>
      </c>
    </row>
    <row r="83" spans="1:23" s="123" customFormat="1" ht="15" customHeight="1" thickTop="1" x14ac:dyDescent="0.25">
      <c r="A83" s="431"/>
      <c r="B83" s="610"/>
      <c r="C83" s="610"/>
      <c r="D83" s="610"/>
      <c r="E83" s="955" t="s">
        <v>172</v>
      </c>
      <c r="F83" s="955" t="s">
        <v>176</v>
      </c>
      <c r="G83" s="955" t="s">
        <v>177</v>
      </c>
      <c r="H83" s="955" t="s">
        <v>178</v>
      </c>
      <c r="I83" s="955" t="s">
        <v>179</v>
      </c>
      <c r="J83" s="968" t="s">
        <v>188</v>
      </c>
      <c r="P83" s="140"/>
      <c r="Q83" s="140"/>
      <c r="R83" s="140"/>
      <c r="S83" s="140"/>
      <c r="T83" s="140"/>
      <c r="U83" s="140"/>
      <c r="V83" s="594">
        <v>0.01</v>
      </c>
      <c r="W83" s="594" t="s">
        <v>86</v>
      </c>
    </row>
    <row r="84" spans="1:23" s="123" customFormat="1" x14ac:dyDescent="0.25">
      <c r="A84" s="970" t="s">
        <v>174</v>
      </c>
      <c r="B84" s="971"/>
      <c r="C84" s="971"/>
      <c r="D84" s="972"/>
      <c r="E84" s="956"/>
      <c r="F84" s="956"/>
      <c r="G84" s="956"/>
      <c r="H84" s="956"/>
      <c r="I84" s="956"/>
      <c r="J84" s="969"/>
      <c r="P84" s="140"/>
      <c r="Q84" s="140"/>
      <c r="R84" s="140"/>
      <c r="S84" s="140"/>
      <c r="T84" s="140"/>
      <c r="U84" s="140"/>
      <c r="V84" s="594">
        <v>10</v>
      </c>
      <c r="W84" s="594" t="s">
        <v>87</v>
      </c>
    </row>
    <row r="85" spans="1:23" s="123" customFormat="1" x14ac:dyDescent="0.25">
      <c r="A85" s="963" t="s">
        <v>183</v>
      </c>
      <c r="B85" s="964"/>
      <c r="C85" s="964"/>
      <c r="D85" s="965"/>
      <c r="E85" s="617"/>
      <c r="F85" s="617"/>
      <c r="G85" s="617"/>
      <c r="H85" s="617"/>
      <c r="I85" s="617"/>
      <c r="J85" s="618"/>
      <c r="P85" s="140"/>
      <c r="Q85" s="140"/>
      <c r="R85" s="140"/>
      <c r="S85" s="140"/>
      <c r="T85" s="140"/>
      <c r="U85" s="140"/>
      <c r="V85" s="594">
        <v>20</v>
      </c>
      <c r="W85" s="594" t="s">
        <v>88</v>
      </c>
    </row>
    <row r="86" spans="1:23" s="123" customFormat="1" x14ac:dyDescent="0.25">
      <c r="A86" s="963" t="s">
        <v>173</v>
      </c>
      <c r="B86" s="964"/>
      <c r="C86" s="964"/>
      <c r="D86" s="965"/>
      <c r="E86" s="617"/>
      <c r="F86" s="617"/>
      <c r="G86" s="617"/>
      <c r="H86" s="617"/>
      <c r="I86" s="617"/>
      <c r="J86" s="618"/>
      <c r="P86" s="140"/>
      <c r="Q86" s="140"/>
      <c r="R86" s="140"/>
      <c r="S86" s="140"/>
      <c r="T86" s="140"/>
      <c r="U86" s="140"/>
      <c r="V86" s="594">
        <v>35</v>
      </c>
      <c r="W86" s="594" t="s">
        <v>47</v>
      </c>
    </row>
    <row r="87" spans="1:23" s="382" customFormat="1" x14ac:dyDescent="0.25">
      <c r="A87" s="701" t="s">
        <v>313</v>
      </c>
      <c r="B87" s="701"/>
      <c r="C87" s="794"/>
      <c r="D87" s="794"/>
      <c r="E87" s="617"/>
      <c r="F87" s="513"/>
      <c r="G87" s="617"/>
      <c r="H87" s="617"/>
      <c r="I87" s="617"/>
      <c r="J87" s="618"/>
      <c r="K87" s="593"/>
      <c r="P87" s="396"/>
      <c r="Q87" s="396"/>
      <c r="R87" s="396"/>
      <c r="S87" s="396"/>
      <c r="T87" s="396"/>
      <c r="U87" s="396"/>
      <c r="V87" s="594">
        <v>55</v>
      </c>
      <c r="W87" s="594" t="s">
        <v>30</v>
      </c>
    </row>
    <row r="88" spans="1:23" s="123" customFormat="1" x14ac:dyDescent="0.25">
      <c r="A88" s="636" t="s">
        <v>1</v>
      </c>
      <c r="B88" s="611"/>
      <c r="C88" s="611"/>
      <c r="D88" s="611"/>
      <c r="E88" s="611"/>
      <c r="F88" s="611"/>
      <c r="G88" s="611"/>
      <c r="H88" s="611"/>
      <c r="I88" s="611"/>
      <c r="J88" s="614"/>
      <c r="P88" s="140"/>
      <c r="Q88" s="140"/>
      <c r="R88" s="140"/>
      <c r="S88" s="140"/>
      <c r="T88" s="140"/>
      <c r="U88" s="140"/>
      <c r="V88" s="594">
        <v>80</v>
      </c>
      <c r="W88" s="594" t="s">
        <v>66</v>
      </c>
    </row>
    <row r="89" spans="1:23" s="123" customFormat="1" ht="18.75" customHeight="1" x14ac:dyDescent="0.25">
      <c r="A89" s="645" t="s">
        <v>171</v>
      </c>
      <c r="B89" s="811"/>
      <c r="C89" s="811"/>
      <c r="D89" s="811"/>
      <c r="E89" s="617"/>
      <c r="F89" s="617"/>
      <c r="G89" s="617"/>
      <c r="H89" s="617"/>
      <c r="I89" s="617"/>
      <c r="J89" s="618"/>
    </row>
    <row r="90" spans="1:23" s="123" customFormat="1" x14ac:dyDescent="0.25">
      <c r="A90" s="637" t="s">
        <v>175</v>
      </c>
      <c r="B90" s="593"/>
      <c r="C90" s="346"/>
      <c r="D90" s="211"/>
      <c r="E90" s="211"/>
      <c r="F90" s="211"/>
      <c r="G90" s="211"/>
      <c r="H90" s="211"/>
      <c r="I90" s="211"/>
      <c r="J90" s="243"/>
    </row>
    <row r="91" spans="1:23" s="123" customFormat="1" x14ac:dyDescent="0.25">
      <c r="A91" s="797" t="s">
        <v>5</v>
      </c>
      <c r="B91" s="727"/>
      <c r="C91" s="727"/>
      <c r="D91" s="811"/>
      <c r="E91" s="619" t="e">
        <f t="shared" ref="E91:J91" si="27">HLOOKUP(E85,$C12:$J29,17,FALSE)</f>
        <v>#N/A</v>
      </c>
      <c r="F91" s="619" t="e">
        <f t="shared" si="27"/>
        <v>#N/A</v>
      </c>
      <c r="G91" s="619" t="e">
        <f t="shared" si="27"/>
        <v>#N/A</v>
      </c>
      <c r="H91" s="619" t="e">
        <f t="shared" si="27"/>
        <v>#N/A</v>
      </c>
      <c r="I91" s="619" t="e">
        <f t="shared" si="27"/>
        <v>#N/A</v>
      </c>
      <c r="J91" s="615" t="e">
        <f t="shared" si="27"/>
        <v>#N/A</v>
      </c>
    </row>
    <row r="92" spans="1:23" s="123" customFormat="1" ht="15.75" x14ac:dyDescent="0.3">
      <c r="A92" s="797" t="s">
        <v>69</v>
      </c>
      <c r="B92" s="727"/>
      <c r="C92" s="727"/>
      <c r="D92" s="811"/>
      <c r="E92" s="619" t="e">
        <f t="shared" ref="E92:J92" si="28">HLOOKUP(E85,$C12:$J29,18,FALSE)</f>
        <v>#N/A</v>
      </c>
      <c r="F92" s="619" t="e">
        <f t="shared" si="28"/>
        <v>#N/A</v>
      </c>
      <c r="G92" s="619" t="e">
        <f t="shared" si="28"/>
        <v>#N/A</v>
      </c>
      <c r="H92" s="619" t="e">
        <f t="shared" si="28"/>
        <v>#N/A</v>
      </c>
      <c r="I92" s="619" t="e">
        <f t="shared" si="28"/>
        <v>#N/A</v>
      </c>
      <c r="J92" s="615" t="e">
        <f t="shared" si="28"/>
        <v>#N/A</v>
      </c>
    </row>
    <row r="93" spans="1:23" s="258" customFormat="1" ht="15.75" x14ac:dyDescent="0.3">
      <c r="A93" s="797" t="s">
        <v>269</v>
      </c>
      <c r="B93" s="727"/>
      <c r="C93" s="727"/>
      <c r="D93" s="811"/>
      <c r="E93" s="619" t="e">
        <f t="shared" ref="E93:J93" si="29">HLOOKUP(E85,$C12:$J30,19,FALSE)</f>
        <v>#N/A</v>
      </c>
      <c r="F93" s="619" t="e">
        <f t="shared" si="29"/>
        <v>#N/A</v>
      </c>
      <c r="G93" s="619" t="e">
        <f t="shared" si="29"/>
        <v>#N/A</v>
      </c>
      <c r="H93" s="619" t="e">
        <f t="shared" si="29"/>
        <v>#N/A</v>
      </c>
      <c r="I93" s="619" t="e">
        <f t="shared" si="29"/>
        <v>#N/A</v>
      </c>
      <c r="J93" s="615" t="e">
        <f t="shared" si="29"/>
        <v>#N/A</v>
      </c>
    </row>
    <row r="94" spans="1:23" s="123" customFormat="1" x14ac:dyDescent="0.25">
      <c r="A94" s="638" t="s">
        <v>211</v>
      </c>
      <c r="B94" s="727"/>
      <c r="C94" s="727"/>
      <c r="D94" s="811"/>
      <c r="E94" s="233"/>
      <c r="F94" s="811"/>
      <c r="G94" s="811"/>
      <c r="H94" s="811"/>
      <c r="I94" s="811"/>
      <c r="J94" s="244"/>
    </row>
    <row r="95" spans="1:23" s="123" customFormat="1" ht="15" customHeight="1" x14ac:dyDescent="0.25">
      <c r="A95" s="637" t="s">
        <v>70</v>
      </c>
      <c r="B95" s="593"/>
      <c r="C95" s="593"/>
      <c r="D95" s="211"/>
      <c r="E95" s="593"/>
      <c r="F95" s="250"/>
      <c r="G95" s="211"/>
      <c r="H95" s="211"/>
      <c r="I95" s="211"/>
      <c r="J95" s="243"/>
    </row>
    <row r="96" spans="1:23" s="123" customFormat="1" ht="15" customHeight="1" x14ac:dyDescent="0.25">
      <c r="A96" s="644" t="s">
        <v>294</v>
      </c>
      <c r="B96" s="727"/>
      <c r="C96" s="727"/>
      <c r="D96" s="811"/>
      <c r="E96" s="586" t="e">
        <f>E89/(E91*E92)</f>
        <v>#N/A</v>
      </c>
      <c r="F96" s="586" t="e">
        <f t="shared" ref="F96:J96" si="30">F89/(F91*F92)</f>
        <v>#N/A</v>
      </c>
      <c r="G96" s="586" t="e">
        <f t="shared" si="30"/>
        <v>#N/A</v>
      </c>
      <c r="H96" s="586" t="e">
        <f t="shared" si="30"/>
        <v>#N/A</v>
      </c>
      <c r="I96" s="586" t="e">
        <f t="shared" si="30"/>
        <v>#N/A</v>
      </c>
      <c r="J96" s="587" t="e">
        <f t="shared" si="30"/>
        <v>#N/A</v>
      </c>
    </row>
    <row r="97" spans="1:11" s="123" customFormat="1" ht="15" customHeight="1" x14ac:dyDescent="0.25">
      <c r="A97" s="580" t="s">
        <v>295</v>
      </c>
      <c r="B97" s="727"/>
      <c r="C97" s="727"/>
      <c r="D97" s="811"/>
      <c r="E97" s="586" t="e">
        <f>IF(E87="yes",0,VLOOKUP(E86,$U33:$V40,2,FALSE))</f>
        <v>#N/A</v>
      </c>
      <c r="F97" s="586" t="e">
        <f>IF(F87="yes",0,VLOOKUP(F86,$U33:$V40,2,FALSE))</f>
        <v>#N/A</v>
      </c>
      <c r="G97" s="586" t="e">
        <f>IF(G87="yes",0,VLOOKUP(G86,$U33:$V40,2,FALSE))</f>
        <v>#N/A</v>
      </c>
      <c r="H97" s="586" t="e">
        <f>IF(H87="yes",0,VLOOKUP(H86,$U33:$V40,2,FALSE))</f>
        <v>#N/A</v>
      </c>
      <c r="I97" s="586" t="e">
        <f>IF(I87="yes",0,VLOOKUP(I86,$U33:$V40,2,FALSE))</f>
        <v>#N/A</v>
      </c>
      <c r="J97" s="587" t="e">
        <f>VLOOKUP(J86,$U33:$V40,2,FALSE)</f>
        <v>#N/A</v>
      </c>
    </row>
    <row r="98" spans="1:11" s="123" customFormat="1" x14ac:dyDescent="0.25">
      <c r="A98" s="642" t="s">
        <v>343</v>
      </c>
      <c r="B98" s="724"/>
      <c r="C98" s="724"/>
      <c r="D98" s="812"/>
      <c r="E98" s="262"/>
      <c r="F98" s="263"/>
      <c r="G98" s="812"/>
      <c r="H98" s="812"/>
      <c r="I98" s="812"/>
      <c r="J98" s="496"/>
    </row>
    <row r="99" spans="1:11" s="123" customFormat="1" ht="15.75" thickBot="1" x14ac:dyDescent="0.3">
      <c r="A99" s="797" t="s">
        <v>336</v>
      </c>
      <c r="B99" s="727"/>
      <c r="C99" s="727"/>
      <c r="D99" s="811"/>
      <c r="E99" s="613" t="e">
        <f t="shared" ref="E99:J99" si="31">(1380*EXP(-0.00102*E97))*E92*E93</f>
        <v>#N/A</v>
      </c>
      <c r="F99" s="613" t="e">
        <f t="shared" si="31"/>
        <v>#N/A</v>
      </c>
      <c r="G99" s="613" t="e">
        <f t="shared" si="31"/>
        <v>#N/A</v>
      </c>
      <c r="H99" s="613" t="e">
        <f t="shared" si="31"/>
        <v>#N/A</v>
      </c>
      <c r="I99" s="613" t="e">
        <f t="shared" si="31"/>
        <v>#N/A</v>
      </c>
      <c r="J99" s="634" t="e">
        <f t="shared" si="31"/>
        <v>#N/A</v>
      </c>
    </row>
    <row r="100" spans="1:11" s="258" customFormat="1" ht="15.75" thickTop="1" x14ac:dyDescent="0.25">
      <c r="A100" s="797" t="s">
        <v>337</v>
      </c>
      <c r="B100" s="727"/>
      <c r="C100" s="727"/>
      <c r="D100" s="811"/>
      <c r="E100" s="584" t="e">
        <f>IF(E99="NA","NA",E96*E92)</f>
        <v>#N/A</v>
      </c>
      <c r="F100" s="584" t="e">
        <f t="shared" ref="F100:J100" si="32">IF(F99="NA","NA",F96*F92)</f>
        <v>#N/A</v>
      </c>
      <c r="G100" s="584" t="e">
        <f t="shared" si="32"/>
        <v>#N/A</v>
      </c>
      <c r="H100" s="584" t="e">
        <f t="shared" si="32"/>
        <v>#N/A</v>
      </c>
      <c r="I100" s="584" t="e">
        <f t="shared" si="32"/>
        <v>#N/A</v>
      </c>
      <c r="J100" s="521" t="e">
        <f t="shared" si="32"/>
        <v>#N/A</v>
      </c>
    </row>
    <row r="101" spans="1:11" s="123" customFormat="1" x14ac:dyDescent="0.25">
      <c r="A101" s="798" t="s">
        <v>203</v>
      </c>
      <c r="B101" s="237"/>
      <c r="C101" s="237"/>
      <c r="D101" s="237"/>
      <c r="E101" s="612" t="e">
        <f>E100/E99</f>
        <v>#N/A</v>
      </c>
      <c r="F101" s="612" t="e">
        <f t="shared" ref="F101:J101" si="33">F96/F99</f>
        <v>#N/A</v>
      </c>
      <c r="G101" s="612" t="e">
        <f t="shared" si="33"/>
        <v>#N/A</v>
      </c>
      <c r="H101" s="612" t="e">
        <f t="shared" si="33"/>
        <v>#N/A</v>
      </c>
      <c r="I101" s="612" t="e">
        <f t="shared" si="33"/>
        <v>#N/A</v>
      </c>
      <c r="J101" s="635" t="e">
        <f t="shared" si="33"/>
        <v>#N/A</v>
      </c>
    </row>
    <row r="102" spans="1:11" s="123" customFormat="1" x14ac:dyDescent="0.25">
      <c r="A102" s="798" t="s">
        <v>311</v>
      </c>
      <c r="B102" s="238"/>
      <c r="C102" s="238"/>
      <c r="D102" s="238"/>
      <c r="E102" s="620" t="e">
        <f>IF(E87="yes",0,3600/E99+900*0.25*(E101-1+SQRT((E101-1)^2+((3600/E99)*E101)/(450*0.25)))+(5*(MIN(E101,1))))</f>
        <v>#N/A</v>
      </c>
      <c r="F102" s="620" t="e">
        <f t="shared" ref="F102:J102" si="34">IF(F87="yes",0,3600/F99+900*0.25*(F101-1+SQRT((F101-1)^2+((3600/F99)*F101)/(450*0.25)))+(5*(MIN(F101,1))))</f>
        <v>#N/A</v>
      </c>
      <c r="G102" s="620" t="e">
        <f t="shared" si="34"/>
        <v>#N/A</v>
      </c>
      <c r="H102" s="620" t="e">
        <f t="shared" si="34"/>
        <v>#N/A</v>
      </c>
      <c r="I102" s="620" t="e">
        <f t="shared" si="34"/>
        <v>#N/A</v>
      </c>
      <c r="J102" s="643" t="e">
        <f t="shared" si="34"/>
        <v>#N/A</v>
      </c>
    </row>
    <row r="103" spans="1:11" s="123" customFormat="1" x14ac:dyDescent="0.25">
      <c r="A103" s="797" t="s">
        <v>85</v>
      </c>
      <c r="B103" s="796"/>
      <c r="C103" s="796"/>
      <c r="D103" s="796"/>
      <c r="E103" s="588" t="e">
        <f>VLOOKUP(E102,$V$75:$W$80,2,TRUE)</f>
        <v>#N/A</v>
      </c>
      <c r="F103" s="588" t="e">
        <f t="shared" ref="F103:J103" si="35">VLOOKUP(F102,$V75:$W80,2,TRUE)</f>
        <v>#N/A</v>
      </c>
      <c r="G103" s="588" t="e">
        <f t="shared" si="35"/>
        <v>#N/A</v>
      </c>
      <c r="H103" s="588" t="e">
        <f t="shared" si="35"/>
        <v>#N/A</v>
      </c>
      <c r="I103" s="588" t="e">
        <f t="shared" si="35"/>
        <v>#N/A</v>
      </c>
      <c r="J103" s="589" t="e">
        <f t="shared" si="35"/>
        <v>#N/A</v>
      </c>
    </row>
    <row r="104" spans="1:11" s="123" customFormat="1" hidden="1" x14ac:dyDescent="0.25">
      <c r="A104" s="797" t="s">
        <v>180</v>
      </c>
      <c r="B104" s="796"/>
      <c r="C104" s="796"/>
      <c r="D104" s="796"/>
      <c r="E104" s="588" t="e">
        <f>VLOOKUP(E102,$V83:$W88,2,TRUE)</f>
        <v>#N/A</v>
      </c>
      <c r="F104" s="588" t="e">
        <f t="shared" ref="F104:J104" si="36">VLOOKUP(F102,$V83:$W88,2,TRUE)</f>
        <v>#N/A</v>
      </c>
      <c r="G104" s="588" t="e">
        <f t="shared" si="36"/>
        <v>#N/A</v>
      </c>
      <c r="H104" s="588" t="e">
        <f t="shared" si="36"/>
        <v>#N/A</v>
      </c>
      <c r="I104" s="588" t="e">
        <f t="shared" si="36"/>
        <v>#N/A</v>
      </c>
      <c r="J104" s="589" t="e">
        <f t="shared" si="36"/>
        <v>#N/A</v>
      </c>
    </row>
    <row r="105" spans="1:11" s="123" customFormat="1" hidden="1" x14ac:dyDescent="0.25">
      <c r="A105" s="809" t="s">
        <v>210</v>
      </c>
      <c r="B105" s="239"/>
      <c r="C105" s="239"/>
      <c r="D105" s="239"/>
      <c r="E105" s="226" t="e">
        <f>""&amp;E103&amp;" / "&amp;E104&amp;"*"</f>
        <v>#N/A</v>
      </c>
      <c r="F105" s="226" t="e">
        <f t="shared" ref="F105:J105" si="37">""&amp;F103&amp;" / "&amp;F104&amp;"*"</f>
        <v>#N/A</v>
      </c>
      <c r="G105" s="226" t="e">
        <f t="shared" si="37"/>
        <v>#N/A</v>
      </c>
      <c r="H105" s="226" t="e">
        <f t="shared" si="37"/>
        <v>#N/A</v>
      </c>
      <c r="I105" s="226" t="e">
        <f t="shared" si="37"/>
        <v>#N/A</v>
      </c>
      <c r="J105" s="230" t="e">
        <f t="shared" si="37"/>
        <v>#N/A</v>
      </c>
    </row>
    <row r="106" spans="1:11" s="123" customFormat="1" x14ac:dyDescent="0.25">
      <c r="A106" s="231" t="s">
        <v>10</v>
      </c>
      <c r="B106" s="234"/>
      <c r="C106" s="234"/>
      <c r="D106" s="234"/>
      <c r="E106" s="597" t="e">
        <f>225*(E101-1+SQRT((1-E101)^2+((3600/E99)*E101/37.5)))*(E99/3600)</f>
        <v>#N/A</v>
      </c>
      <c r="F106" s="597" t="e">
        <f t="shared" ref="F106:J106" si="38">225*(F101-1+SQRT((1-F101)^2+((3600/F99)*F101/37.5)))*(F99/3600)</f>
        <v>#N/A</v>
      </c>
      <c r="G106" s="597" t="e">
        <f t="shared" si="38"/>
        <v>#N/A</v>
      </c>
      <c r="H106" s="597" t="e">
        <f t="shared" si="38"/>
        <v>#N/A</v>
      </c>
      <c r="I106" s="597" t="e">
        <f t="shared" si="38"/>
        <v>#N/A</v>
      </c>
      <c r="J106" s="607" t="e">
        <f t="shared" si="38"/>
        <v>#N/A</v>
      </c>
    </row>
    <row r="107" spans="1:11" s="123" customFormat="1" x14ac:dyDescent="0.25">
      <c r="A107" s="798" t="s">
        <v>138</v>
      </c>
      <c r="B107" s="238"/>
      <c r="C107" s="238"/>
      <c r="D107" s="515"/>
      <c r="E107" s="235" t="e">
        <f>(E106*($P$28/E92))</f>
        <v>#N/A</v>
      </c>
      <c r="F107" s="235" t="e">
        <f t="shared" ref="F107:J107" si="39">(F106*($P$28/F92))</f>
        <v>#N/A</v>
      </c>
      <c r="G107" s="235" t="e">
        <f t="shared" si="39"/>
        <v>#N/A</v>
      </c>
      <c r="H107" s="235" t="e">
        <f t="shared" si="39"/>
        <v>#N/A</v>
      </c>
      <c r="I107" s="235" t="e">
        <f t="shared" si="39"/>
        <v>#N/A</v>
      </c>
      <c r="J107" s="183" t="e">
        <f t="shared" si="39"/>
        <v>#N/A</v>
      </c>
    </row>
    <row r="108" spans="1:11" s="382" customFormat="1" hidden="1" x14ac:dyDescent="0.25">
      <c r="A108" s="605"/>
      <c r="B108" s="514" t="s">
        <v>316</v>
      </c>
      <c r="C108" s="238"/>
      <c r="D108" s="238"/>
      <c r="E108" s="238" t="e">
        <f t="shared" ref="E108:J108" si="40">HLOOKUP(E85,$C12:$J63,52,FALSE)</f>
        <v>#N/A</v>
      </c>
      <c r="F108" s="238" t="e">
        <f t="shared" si="40"/>
        <v>#N/A</v>
      </c>
      <c r="G108" s="238" t="e">
        <f t="shared" si="40"/>
        <v>#N/A</v>
      </c>
      <c r="H108" s="238" t="e">
        <f t="shared" si="40"/>
        <v>#N/A</v>
      </c>
      <c r="I108" s="238" t="e">
        <f t="shared" si="40"/>
        <v>#N/A</v>
      </c>
      <c r="J108" s="884" t="e">
        <f t="shared" si="40"/>
        <v>#N/A</v>
      </c>
    </row>
    <row r="109" spans="1:11" s="382" customFormat="1" hidden="1" x14ac:dyDescent="0.25">
      <c r="A109" s="605"/>
      <c r="B109" s="701"/>
      <c r="C109" s="238"/>
      <c r="D109" s="238"/>
      <c r="E109" s="238" t="e">
        <f t="shared" ref="E109:J109" si="41">HLOOKUP(E85,$C12:$J63,50,FALSE)</f>
        <v>#N/A</v>
      </c>
      <c r="F109" s="238" t="e">
        <f t="shared" si="41"/>
        <v>#N/A</v>
      </c>
      <c r="G109" s="238" t="e">
        <f t="shared" si="41"/>
        <v>#N/A</v>
      </c>
      <c r="H109" s="238" t="e">
        <f t="shared" si="41"/>
        <v>#N/A</v>
      </c>
      <c r="I109" s="238" t="e">
        <f t="shared" si="41"/>
        <v>#N/A</v>
      </c>
      <c r="J109" s="859" t="e">
        <f t="shared" si="41"/>
        <v>#N/A</v>
      </c>
    </row>
    <row r="110" spans="1:11" s="123" customFormat="1" x14ac:dyDescent="0.25">
      <c r="A110" s="516" t="s">
        <v>317</v>
      </c>
      <c r="B110" s="518"/>
      <c r="C110" s="518"/>
      <c r="D110" s="518"/>
      <c r="E110" s="519" t="e">
        <f>((E102*E100)+(E109*E108))/(E109+E100)</f>
        <v>#N/A</v>
      </c>
      <c r="F110" s="519" t="e">
        <f t="shared" ref="F110:J110" si="42">((F102*F100)+(F109*F108))/(F109+F100)</f>
        <v>#N/A</v>
      </c>
      <c r="G110" s="517" t="e">
        <f t="shared" si="42"/>
        <v>#N/A</v>
      </c>
      <c r="H110" s="517" t="e">
        <f t="shared" si="42"/>
        <v>#N/A</v>
      </c>
      <c r="I110" s="517" t="e">
        <f t="shared" si="42"/>
        <v>#N/A</v>
      </c>
      <c r="J110" s="522" t="e">
        <f t="shared" si="42"/>
        <v>#N/A</v>
      </c>
      <c r="K110" s="386"/>
    </row>
    <row r="111" spans="1:11" s="123" customFormat="1" ht="15.75" thickBot="1" x14ac:dyDescent="0.3">
      <c r="A111" s="816" t="s">
        <v>318</v>
      </c>
      <c r="B111" s="817"/>
      <c r="C111" s="817"/>
      <c r="D111" s="818"/>
      <c r="E111" s="819" t="e">
        <f>VLOOKUP(E110,$V$75:$W$80,2,TRUE)</f>
        <v>#N/A</v>
      </c>
      <c r="F111" s="819" t="e">
        <f t="shared" ref="F111:J111" si="43">VLOOKUP(F110,$V$75:$W$80,2,TRUE)</f>
        <v>#N/A</v>
      </c>
      <c r="G111" s="819" t="e">
        <f t="shared" si="43"/>
        <v>#N/A</v>
      </c>
      <c r="H111" s="819" t="e">
        <f t="shared" si="43"/>
        <v>#N/A</v>
      </c>
      <c r="I111" s="819" t="e">
        <f t="shared" si="43"/>
        <v>#N/A</v>
      </c>
      <c r="J111" s="820" t="e">
        <f t="shared" si="43"/>
        <v>#N/A</v>
      </c>
    </row>
    <row r="112" spans="1:11" s="123" customFormat="1" x14ac:dyDescent="0.25">
      <c r="A112" s="382"/>
      <c r="B112" s="382"/>
    </row>
    <row r="113" spans="1:10" s="123" customFormat="1" x14ac:dyDescent="0.25">
      <c r="A113" s="382"/>
    </row>
    <row r="114" spans="1:10" s="123" customFormat="1" x14ac:dyDescent="0.25">
      <c r="A114" s="382"/>
      <c r="F114" s="966"/>
      <c r="G114" s="966"/>
      <c r="H114" s="966"/>
      <c r="I114" s="966"/>
      <c r="J114" s="966"/>
    </row>
    <row r="115" spans="1:10" s="123" customFormat="1" x14ac:dyDescent="0.25">
      <c r="A115" s="382"/>
      <c r="F115" s="967"/>
      <c r="G115" s="967"/>
      <c r="H115" s="967"/>
      <c r="I115" s="347"/>
      <c r="J115" s="520"/>
    </row>
    <row r="116" spans="1:10" s="123" customFormat="1" x14ac:dyDescent="0.25">
      <c r="A116" s="382"/>
      <c r="F116" s="967"/>
      <c r="G116" s="967"/>
      <c r="H116" s="967"/>
      <c r="I116" s="347"/>
      <c r="J116" s="347"/>
    </row>
    <row r="117" spans="1:10" s="123" customFormat="1" x14ac:dyDescent="0.25">
      <c r="A117" s="382"/>
      <c r="F117" s="258"/>
      <c r="G117" s="258"/>
      <c r="H117" s="254"/>
      <c r="I117" s="347"/>
      <c r="J117" s="347"/>
    </row>
    <row r="118" spans="1:10" s="123" customFormat="1" x14ac:dyDescent="0.25">
      <c r="A118" s="382"/>
    </row>
    <row r="119" spans="1:10" s="123" customFormat="1" x14ac:dyDescent="0.25">
      <c r="A119" s="382"/>
    </row>
    <row r="120" spans="1:10" s="123" customFormat="1" x14ac:dyDescent="0.25">
      <c r="A120" s="382"/>
    </row>
    <row r="121" spans="1:10" s="123" customFormat="1" x14ac:dyDescent="0.25">
      <c r="A121" s="382"/>
    </row>
    <row r="122" spans="1:10" s="123" customFormat="1" x14ac:dyDescent="0.25">
      <c r="A122" s="382"/>
    </row>
    <row r="123" spans="1:10" s="123" customFormat="1" x14ac:dyDescent="0.25">
      <c r="A123" s="382"/>
    </row>
    <row r="124" spans="1:10" s="123" customFormat="1" x14ac:dyDescent="0.25">
      <c r="A124" s="382"/>
    </row>
    <row r="125" spans="1:10" s="123" customFormat="1" x14ac:dyDescent="0.25">
      <c r="A125" s="382"/>
    </row>
    <row r="126" spans="1:10" s="123" customFormat="1" x14ac:dyDescent="0.25">
      <c r="A126" s="382"/>
    </row>
    <row r="127" spans="1:10" s="123" customFormat="1" x14ac:dyDescent="0.25">
      <c r="A127" s="382"/>
    </row>
    <row r="128" spans="1:10" s="123" customFormat="1" x14ac:dyDescent="0.25">
      <c r="A128" s="382"/>
    </row>
    <row r="129" spans="1:1" s="123" customFormat="1" x14ac:dyDescent="0.25">
      <c r="A129" s="382"/>
    </row>
    <row r="130" spans="1:1" s="123" customFormat="1" x14ac:dyDescent="0.25">
      <c r="A130" s="382"/>
    </row>
    <row r="131" spans="1:1" s="123" customFormat="1" x14ac:dyDescent="0.25">
      <c r="A131" s="382"/>
    </row>
    <row r="132" spans="1:1" s="123" customFormat="1" x14ac:dyDescent="0.25">
      <c r="A132" s="382"/>
    </row>
    <row r="133" spans="1:1" s="123" customFormat="1" x14ac:dyDescent="0.25">
      <c r="A133" s="382"/>
    </row>
    <row r="134" spans="1:1" s="123" customFormat="1" x14ac:dyDescent="0.25">
      <c r="A134" s="382"/>
    </row>
    <row r="135" spans="1:1" s="123" customFormat="1" x14ac:dyDescent="0.25">
      <c r="A135" s="382"/>
    </row>
    <row r="136" spans="1:1" s="123" customFormat="1" x14ac:dyDescent="0.25">
      <c r="A136" s="382"/>
    </row>
    <row r="137" spans="1:1" s="123" customFormat="1" x14ac:dyDescent="0.25">
      <c r="A137" s="382"/>
    </row>
    <row r="138" spans="1:1" s="123" customFormat="1" x14ac:dyDescent="0.25">
      <c r="A138" s="382"/>
    </row>
    <row r="139" spans="1:1" s="123" customFormat="1" x14ac:dyDescent="0.25">
      <c r="A139" s="382"/>
    </row>
    <row r="140" spans="1:1" s="123" customFormat="1" x14ac:dyDescent="0.25">
      <c r="A140" s="382"/>
    </row>
    <row r="141" spans="1:1" s="123" customFormat="1" x14ac:dyDescent="0.25">
      <c r="A141" s="382"/>
    </row>
    <row r="142" spans="1:1" s="123" customFormat="1" x14ac:dyDescent="0.25">
      <c r="A142" s="382"/>
    </row>
    <row r="143" spans="1:1" s="123" customFormat="1" x14ac:dyDescent="0.25">
      <c r="A143" s="382"/>
    </row>
    <row r="144" spans="1:1" s="123" customFormat="1" x14ac:dyDescent="0.25">
      <c r="A144" s="382"/>
    </row>
    <row r="145" spans="1:1" s="123" customFormat="1" x14ac:dyDescent="0.25">
      <c r="A145" s="382"/>
    </row>
    <row r="146" spans="1:1" s="123" customFormat="1" x14ac:dyDescent="0.25">
      <c r="A146" s="382"/>
    </row>
    <row r="147" spans="1:1" s="123" customFormat="1" x14ac:dyDescent="0.25">
      <c r="A147" s="382"/>
    </row>
    <row r="148" spans="1:1" s="123" customFormat="1" x14ac:dyDescent="0.25">
      <c r="A148" s="382"/>
    </row>
    <row r="149" spans="1:1" s="123" customFormat="1" x14ac:dyDescent="0.25">
      <c r="A149" s="382"/>
    </row>
    <row r="150" spans="1:1" s="123" customFormat="1" x14ac:dyDescent="0.25">
      <c r="A150" s="382"/>
    </row>
    <row r="151" spans="1:1" s="123" customFormat="1" x14ac:dyDescent="0.25">
      <c r="A151" s="382"/>
    </row>
    <row r="152" spans="1:1" s="123" customFormat="1" x14ac:dyDescent="0.25">
      <c r="A152" s="382"/>
    </row>
    <row r="153" spans="1:1" s="123" customFormat="1" x14ac:dyDescent="0.25">
      <c r="A153" s="382"/>
    </row>
    <row r="154" spans="1:1" s="123" customFormat="1" x14ac:dyDescent="0.25">
      <c r="A154" s="382"/>
    </row>
    <row r="155" spans="1:1" s="123" customFormat="1" x14ac:dyDescent="0.25">
      <c r="A155" s="382"/>
    </row>
    <row r="156" spans="1:1" s="123" customFormat="1" x14ac:dyDescent="0.25">
      <c r="A156" s="382"/>
    </row>
    <row r="157" spans="1:1" s="123" customFormat="1" x14ac:dyDescent="0.25">
      <c r="A157" s="382"/>
    </row>
    <row r="158" spans="1:1" s="123" customFormat="1" x14ac:dyDescent="0.25">
      <c r="A158" s="382"/>
    </row>
    <row r="159" spans="1:1" s="123" customFormat="1" x14ac:dyDescent="0.25">
      <c r="A159" s="382"/>
    </row>
    <row r="160" spans="1:1" s="123" customFormat="1" x14ac:dyDescent="0.25">
      <c r="A160" s="382"/>
    </row>
    <row r="161" spans="1:1" s="123" customFormat="1" x14ac:dyDescent="0.25">
      <c r="A161" s="382"/>
    </row>
    <row r="162" spans="1:1" s="123" customFormat="1" x14ac:dyDescent="0.25">
      <c r="A162" s="382"/>
    </row>
    <row r="163" spans="1:1" s="123" customFormat="1" x14ac:dyDescent="0.25">
      <c r="A163" s="382"/>
    </row>
    <row r="164" spans="1:1" s="123" customFormat="1" x14ac:dyDescent="0.25">
      <c r="A164" s="382"/>
    </row>
    <row r="165" spans="1:1" s="123" customFormat="1" x14ac:dyDescent="0.25">
      <c r="A165" s="382"/>
    </row>
    <row r="166" spans="1:1" s="123" customFormat="1" x14ac:dyDescent="0.25">
      <c r="A166" s="382"/>
    </row>
    <row r="167" spans="1:1" s="123" customFormat="1" x14ac:dyDescent="0.25">
      <c r="A167" s="382"/>
    </row>
    <row r="168" spans="1:1" s="123" customFormat="1" x14ac:dyDescent="0.25">
      <c r="A168" s="382"/>
    </row>
    <row r="169" spans="1:1" s="123" customFormat="1" x14ac:dyDescent="0.25">
      <c r="A169" s="382"/>
    </row>
    <row r="170" spans="1:1" s="123" customFormat="1" x14ac:dyDescent="0.25">
      <c r="A170" s="382"/>
    </row>
    <row r="171" spans="1:1" s="123" customFormat="1" x14ac:dyDescent="0.25">
      <c r="A171" s="382"/>
    </row>
    <row r="172" spans="1:1" s="123" customFormat="1" x14ac:dyDescent="0.25">
      <c r="A172" s="382"/>
    </row>
    <row r="173" spans="1:1" s="123" customFormat="1" x14ac:dyDescent="0.25">
      <c r="A173" s="382"/>
    </row>
    <row r="174" spans="1:1" s="123" customFormat="1" x14ac:dyDescent="0.25">
      <c r="A174" s="382"/>
    </row>
    <row r="175" spans="1:1" s="123" customFormat="1" x14ac:dyDescent="0.25">
      <c r="A175" s="382"/>
    </row>
    <row r="176" spans="1:1" s="123" customFormat="1" x14ac:dyDescent="0.25">
      <c r="A176" s="382"/>
    </row>
    <row r="177" spans="1:1" s="123" customFormat="1" x14ac:dyDescent="0.25">
      <c r="A177" s="382"/>
    </row>
    <row r="178" spans="1:1" s="123" customFormat="1" x14ac:dyDescent="0.25">
      <c r="A178" s="382"/>
    </row>
    <row r="179" spans="1:1" s="123" customFormat="1" x14ac:dyDescent="0.25">
      <c r="A179" s="382"/>
    </row>
    <row r="180" spans="1:1" s="123" customFormat="1" x14ac:dyDescent="0.25">
      <c r="A180" s="382"/>
    </row>
    <row r="181" spans="1:1" s="123" customFormat="1" x14ac:dyDescent="0.25">
      <c r="A181" s="382"/>
    </row>
    <row r="182" spans="1:1" s="123" customFormat="1" x14ac:dyDescent="0.25">
      <c r="A182" s="382"/>
    </row>
    <row r="183" spans="1:1" s="123" customFormat="1" x14ac:dyDescent="0.25">
      <c r="A183" s="382"/>
    </row>
    <row r="184" spans="1:1" s="123" customFormat="1" x14ac:dyDescent="0.25">
      <c r="A184" s="382"/>
    </row>
    <row r="185" spans="1:1" s="123" customFormat="1" x14ac:dyDescent="0.25">
      <c r="A185" s="382"/>
    </row>
    <row r="186" spans="1:1" s="123" customFormat="1" x14ac:dyDescent="0.25">
      <c r="A186" s="382"/>
    </row>
    <row r="187" spans="1:1" s="123" customFormat="1" x14ac:dyDescent="0.25">
      <c r="A187" s="382"/>
    </row>
    <row r="188" spans="1:1" s="123" customFormat="1" x14ac:dyDescent="0.25">
      <c r="A188" s="382"/>
    </row>
    <row r="189" spans="1:1" s="123" customFormat="1" x14ac:dyDescent="0.25">
      <c r="A189" s="382"/>
    </row>
    <row r="190" spans="1:1" s="123" customFormat="1" x14ac:dyDescent="0.25">
      <c r="A190" s="382"/>
    </row>
    <row r="191" spans="1:1" s="123" customFormat="1" x14ac:dyDescent="0.25">
      <c r="A191" s="382"/>
    </row>
    <row r="192" spans="1:1" s="123" customFormat="1" x14ac:dyDescent="0.25">
      <c r="A192" s="382"/>
    </row>
    <row r="193" spans="1:1" s="123" customFormat="1" x14ac:dyDescent="0.25">
      <c r="A193" s="382"/>
    </row>
    <row r="194" spans="1:1" s="123" customFormat="1" x14ac:dyDescent="0.25">
      <c r="A194" s="382"/>
    </row>
    <row r="195" spans="1:1" s="123" customFormat="1" x14ac:dyDescent="0.25">
      <c r="A195" s="382"/>
    </row>
    <row r="196" spans="1:1" s="123" customFormat="1" x14ac:dyDescent="0.25">
      <c r="A196" s="382"/>
    </row>
    <row r="197" spans="1:1" s="123" customFormat="1" x14ac:dyDescent="0.25">
      <c r="A197" s="382"/>
    </row>
    <row r="198" spans="1:1" s="123" customFormat="1" x14ac:dyDescent="0.25">
      <c r="A198" s="382"/>
    </row>
    <row r="199" spans="1:1" s="123" customFormat="1" x14ac:dyDescent="0.25">
      <c r="A199" s="382"/>
    </row>
    <row r="200" spans="1:1" s="123" customFormat="1" x14ac:dyDescent="0.25">
      <c r="A200" s="382"/>
    </row>
  </sheetData>
  <sheetProtection algorithmName="SHA-512" hashValue="uqwF7Rp7H1Ob5hM4wL1IIKeCoMA8dCrByhbOeBt/UzWGbvM9w/p4hQwZrA4Fn0L+gUj9OfETiUML4MUAnOv4YQ==" saltValue="DMTqj4KGN5c1i//JZK30XQ==" spinCount="100000" sheet="1" objects="1" scenarios="1"/>
  <mergeCells count="75">
    <mergeCell ref="E83:E84"/>
    <mergeCell ref="F83:F84"/>
    <mergeCell ref="G83:G84"/>
    <mergeCell ref="H83:H84"/>
    <mergeCell ref="I83:I84"/>
    <mergeCell ref="N33:Q33"/>
    <mergeCell ref="N32:Q32"/>
    <mergeCell ref="F115:H115"/>
    <mergeCell ref="F116:H116"/>
    <mergeCell ref="F114:J114"/>
    <mergeCell ref="J83:J84"/>
    <mergeCell ref="A70:J70"/>
    <mergeCell ref="A73:B73"/>
    <mergeCell ref="A36:B36"/>
    <mergeCell ref="A37:B37"/>
    <mergeCell ref="A38:B38"/>
    <mergeCell ref="A39:B39"/>
    <mergeCell ref="A40:B40"/>
    <mergeCell ref="A41:B41"/>
    <mergeCell ref="A42:B42"/>
    <mergeCell ref="A45:B45"/>
    <mergeCell ref="A18:B18"/>
    <mergeCell ref="A11:B11"/>
    <mergeCell ref="A19:B19"/>
    <mergeCell ref="A13:B13"/>
    <mergeCell ref="A14:B14"/>
    <mergeCell ref="A15:B15"/>
    <mergeCell ref="A16:B16"/>
    <mergeCell ref="A17:B17"/>
    <mergeCell ref="A26:B26"/>
    <mergeCell ref="A27:B27"/>
    <mergeCell ref="A28:B28"/>
    <mergeCell ref="A20:B20"/>
    <mergeCell ref="A21:B21"/>
    <mergeCell ref="A23:B23"/>
    <mergeCell ref="A24:B24"/>
    <mergeCell ref="A25:B25"/>
    <mergeCell ref="A29:B29"/>
    <mergeCell ref="A30:B30"/>
    <mergeCell ref="A33:B33"/>
    <mergeCell ref="A34:B34"/>
    <mergeCell ref="A35:B35"/>
    <mergeCell ref="A32:B32"/>
    <mergeCell ref="A44:B44"/>
    <mergeCell ref="A49:B49"/>
    <mergeCell ref="A48:J48"/>
    <mergeCell ref="C45:E45"/>
    <mergeCell ref="A50:B50"/>
    <mergeCell ref="A85:D85"/>
    <mergeCell ref="A86:D86"/>
    <mergeCell ref="A64:B64"/>
    <mergeCell ref="A61:B61"/>
    <mergeCell ref="A68:B68"/>
    <mergeCell ref="A72:B72"/>
    <mergeCell ref="A67:B67"/>
    <mergeCell ref="C71:D71"/>
    <mergeCell ref="A62:B62"/>
    <mergeCell ref="A63:B63"/>
    <mergeCell ref="A84:D84"/>
    <mergeCell ref="F71:G71"/>
    <mergeCell ref="B2:G2"/>
    <mergeCell ref="A8:A9"/>
    <mergeCell ref="B3:G3"/>
    <mergeCell ref="B4:G4"/>
    <mergeCell ref="B5:G5"/>
    <mergeCell ref="B6:G6"/>
    <mergeCell ref="B7:G7"/>
    <mergeCell ref="B8:G9"/>
    <mergeCell ref="A59:B59"/>
    <mergeCell ref="A60:B60"/>
    <mergeCell ref="A51:B51"/>
    <mergeCell ref="A52:B52"/>
    <mergeCell ref="A53:B53"/>
    <mergeCell ref="A54:B54"/>
    <mergeCell ref="A58:B58"/>
  </mergeCells>
  <conditionalFormatting sqref="L34:L36 C52:J58 E110:J111 B91:B94 B96:B107 C91:J109 C66:J66 C68:J69 I71:J71 C62:J64">
    <cfRule type="expression" dxfId="109" priority="42" stopIfTrue="1">
      <formula>ISERROR(B34)</formula>
    </cfRule>
  </conditionalFormatting>
  <conditionalFormatting sqref="L33 C50:J51 E100:J100">
    <cfRule type="cellIs" dxfId="108" priority="41" stopIfTrue="1" operator="equal">
      <formula>FALSE</formula>
    </cfRule>
  </conditionalFormatting>
  <conditionalFormatting sqref="C28:J28">
    <cfRule type="cellIs" dxfId="107" priority="40" stopIfTrue="1" operator="notEqual">
      <formula>0.95</formula>
    </cfRule>
  </conditionalFormatting>
  <conditionalFormatting sqref="C26:J27">
    <cfRule type="cellIs" dxfId="106" priority="36" stopIfTrue="1" operator="notEqual">
      <formula>0</formula>
    </cfRule>
  </conditionalFormatting>
  <conditionalFormatting sqref="B2:B8">
    <cfRule type="cellIs" dxfId="105" priority="28" stopIfTrue="1" operator="equal">
      <formula>0</formula>
    </cfRule>
  </conditionalFormatting>
  <conditionalFormatting sqref="C45">
    <cfRule type="expression" dxfId="104" priority="25">
      <formula>"Urban Compact"</formula>
    </cfRule>
  </conditionalFormatting>
  <conditionalFormatting sqref="C14:C20 D13 D15:D20 E13:E14 E16:E20 F13:F15 F17:F20 G13:G16 G18:G20 H13:H17 H19:H20 I13:I18 I20 J13:J19">
    <cfRule type="cellIs" dxfId="103" priority="24" operator="greaterThan">
      <formula>0</formula>
    </cfRule>
  </conditionalFormatting>
  <conditionalFormatting sqref="M5:M12">
    <cfRule type="cellIs" dxfId="102" priority="20" operator="equal">
      <formula>0</formula>
    </cfRule>
  </conditionalFormatting>
  <conditionalFormatting sqref="C60:J60">
    <cfRule type="cellIs" dxfId="101" priority="15" stopIfTrue="1" operator="equal">
      <formula>FALSE</formula>
    </cfRule>
  </conditionalFormatting>
  <conditionalFormatting sqref="C25:J25">
    <cfRule type="cellIs" dxfId="100" priority="14" operator="notEqual">
      <formula>0</formula>
    </cfRule>
  </conditionalFormatting>
  <conditionalFormatting sqref="C13 D14 E15 F16 G17 H18 I19 J20">
    <cfRule type="cellIs" dxfId="99" priority="13" operator="greaterThan">
      <formula>0</formula>
    </cfRule>
  </conditionalFormatting>
  <conditionalFormatting sqref="C65:J65">
    <cfRule type="expression" dxfId="98" priority="12" stopIfTrue="1">
      <formula>ISERROR(C65)</formula>
    </cfRule>
  </conditionalFormatting>
  <conditionalFormatting sqref="C67:J67">
    <cfRule type="expression" dxfId="97" priority="11" stopIfTrue="1">
      <formula>ISERROR(C67)</formula>
    </cfRule>
  </conditionalFormatting>
  <conditionalFormatting sqref="C71">
    <cfRule type="expression" dxfId="96" priority="10" stopIfTrue="1">
      <formula>ISERROR(C71)</formula>
    </cfRule>
  </conditionalFormatting>
  <conditionalFormatting sqref="C62:J69">
    <cfRule type="cellIs" dxfId="95" priority="8" operator="equal">
      <formula>0</formula>
    </cfRule>
  </conditionalFormatting>
  <conditionalFormatting sqref="F71">
    <cfRule type="expression" dxfId="94" priority="7" stopIfTrue="1">
      <formula>ISERROR(F71)</formula>
    </cfRule>
  </conditionalFormatting>
  <conditionalFormatting sqref="E71">
    <cfRule type="expression" dxfId="93" priority="5" stopIfTrue="1">
      <formula>ISERROR(E71)</formula>
    </cfRule>
  </conditionalFormatting>
  <conditionalFormatting sqref="H71">
    <cfRule type="expression" dxfId="92" priority="4" stopIfTrue="1">
      <formula>ISERROR(H71)</formula>
    </cfRule>
  </conditionalFormatting>
  <conditionalFormatting sqref="J72">
    <cfRule type="expression" dxfId="91" priority="3" stopIfTrue="1">
      <formula>ISERROR(J72)</formula>
    </cfRule>
  </conditionalFormatting>
  <conditionalFormatting sqref="J71">
    <cfRule type="cellIs" dxfId="90" priority="1" operator="equal">
      <formula>0</formula>
    </cfRule>
  </conditionalFormatting>
  <dataValidations count="3">
    <dataValidation type="list" allowBlank="1" showInputMessage="1" showErrorMessage="1" sqref="I115:J117 E85:J86">
      <formula1>$C$12:$J$12</formula1>
    </dataValidation>
    <dataValidation type="list" allowBlank="1" showInputMessage="1" showErrorMessage="1" sqref="E87:J87">
      <formula1>$U$43:$U$44</formula1>
    </dataValidation>
    <dataValidation type="list" allowBlank="1" showInputMessage="1" showErrorMessage="1" sqref="C45:E45">
      <formula1>"Standard Single Lane, Urban Compact"</formula1>
    </dataValidation>
  </dataValidations>
  <pageMargins left="0.7" right="0.7" top="0.75" bottom="0.75" header="0.3" footer="0.3"/>
  <pageSetup orientation="portrait" r:id="rId1"/>
  <headerFooter>
    <oddHeader>&amp;L&amp;G&amp;CRoundabout Analysis Tool
Single Lane&amp;R&amp;D
Version 4.2</oddHeader>
    <oddFooter>&amp;R&amp;10Georgia Department of Transportation
Office of Traffic Operations</oddFooter>
  </headerFooter>
  <rowBreaks count="1" manualBreakCount="1">
    <brk id="47" max="9"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249977111117893"/>
  </sheetPr>
  <dimension ref="A1:AR269"/>
  <sheetViews>
    <sheetView zoomScaleNormal="100" workbookViewId="0">
      <selection activeCell="S176" sqref="S176"/>
    </sheetView>
  </sheetViews>
  <sheetFormatPr defaultColWidth="9.140625" defaultRowHeight="15" x14ac:dyDescent="0.25"/>
  <cols>
    <col min="1" max="1" width="15.85546875" style="363" customWidth="1"/>
    <col min="2" max="2" width="9.85546875" style="363" customWidth="1"/>
    <col min="3" max="10" width="8.28515625" style="363" customWidth="1"/>
    <col min="11" max="11" width="17.42578125" style="382" customWidth="1"/>
    <col min="12" max="12" width="16.7109375" style="382" customWidth="1"/>
    <col min="13" max="13" width="11.42578125" style="382" customWidth="1"/>
    <col min="14" max="19" width="7.140625" style="382" customWidth="1"/>
    <col min="20" max="20" width="20" style="382" customWidth="1"/>
    <col min="21" max="21" width="4.85546875" style="382" customWidth="1"/>
    <col min="22" max="28" width="9.140625" style="382"/>
    <col min="29" max="29" width="9.140625" style="382" customWidth="1"/>
    <col min="30" max="35" width="9.140625" style="382"/>
    <col min="36" max="36" width="7.28515625" style="382" customWidth="1"/>
    <col min="37" max="43" width="9.140625" style="382"/>
    <col min="44" max="16384" width="9.140625" style="363"/>
  </cols>
  <sheetData>
    <row r="1" spans="1:43" ht="15.75" thickBot="1" x14ac:dyDescent="0.3">
      <c r="A1" s="842" t="s">
        <v>12</v>
      </c>
      <c r="B1" s="843"/>
      <c r="C1" s="840"/>
      <c r="D1" s="840"/>
      <c r="E1" s="840"/>
      <c r="F1" s="840"/>
      <c r="G1" s="844" t="str">
        <f>'START HERE'!H2</f>
        <v>v 4.2</v>
      </c>
      <c r="H1" s="577"/>
      <c r="I1" s="577"/>
      <c r="J1" s="578"/>
    </row>
    <row r="2" spans="1:43" ht="15.75" thickTop="1" x14ac:dyDescent="0.25">
      <c r="A2" s="721" t="s">
        <v>13</v>
      </c>
      <c r="B2" s="912">
        <f>'START HERE'!C9</f>
        <v>0</v>
      </c>
      <c r="C2" s="912"/>
      <c r="D2" s="912"/>
      <c r="E2" s="912"/>
      <c r="F2" s="912"/>
      <c r="G2" s="912"/>
      <c r="H2" s="575"/>
      <c r="I2" s="575"/>
      <c r="J2" s="579"/>
      <c r="L2" s="464" t="s">
        <v>254</v>
      </c>
      <c r="M2" s="464"/>
      <c r="N2" s="464"/>
      <c r="O2" s="464"/>
      <c r="P2" s="464"/>
    </row>
    <row r="3" spans="1:43" x14ac:dyDescent="0.25">
      <c r="A3" s="548" t="s">
        <v>332</v>
      </c>
      <c r="B3" s="913">
        <f>'START HERE'!C10</f>
        <v>0</v>
      </c>
      <c r="C3" s="913"/>
      <c r="D3" s="913"/>
      <c r="E3" s="913"/>
      <c r="F3" s="913"/>
      <c r="G3" s="913"/>
      <c r="H3" s="575"/>
      <c r="I3" s="575"/>
      <c r="J3" s="579"/>
      <c r="L3" s="461" t="s">
        <v>246</v>
      </c>
      <c r="M3" s="456" t="s">
        <v>245</v>
      </c>
      <c r="N3" s="387"/>
      <c r="O3" s="387"/>
      <c r="P3" s="387"/>
    </row>
    <row r="4" spans="1:43" x14ac:dyDescent="0.25">
      <c r="A4" s="571" t="s">
        <v>15</v>
      </c>
      <c r="B4" s="1022">
        <f>'START HERE'!C11</f>
        <v>0</v>
      </c>
      <c r="C4" s="1022"/>
      <c r="D4" s="1022"/>
      <c r="E4" s="1022"/>
      <c r="F4" s="1022"/>
      <c r="G4" s="1022"/>
      <c r="H4" s="575"/>
      <c r="I4" s="575"/>
      <c r="J4" s="579"/>
      <c r="L4" s="460" t="s">
        <v>48</v>
      </c>
      <c r="M4" s="459">
        <f>'START HERE'!$AC$22</f>
        <v>0</v>
      </c>
      <c r="N4" s="459"/>
      <c r="O4" s="459"/>
      <c r="P4" s="459"/>
    </row>
    <row r="5" spans="1:43" x14ac:dyDescent="0.25">
      <c r="A5" s="571" t="s">
        <v>330</v>
      </c>
      <c r="B5" s="916">
        <f>'START HERE'!C12</f>
        <v>0</v>
      </c>
      <c r="C5" s="916"/>
      <c r="D5" s="916"/>
      <c r="E5" s="916"/>
      <c r="F5" s="916"/>
      <c r="G5" s="916"/>
      <c r="H5" s="575"/>
      <c r="I5" s="575"/>
      <c r="J5" s="579"/>
      <c r="L5" s="460" t="s">
        <v>49</v>
      </c>
      <c r="M5" s="459">
        <f>'START HERE'!$X$43</f>
        <v>0</v>
      </c>
      <c r="N5" s="459"/>
      <c r="O5" s="459"/>
      <c r="P5" s="459"/>
    </row>
    <row r="6" spans="1:43" x14ac:dyDescent="0.25">
      <c r="A6" s="571" t="s">
        <v>252</v>
      </c>
      <c r="B6" s="916">
        <f>'START HERE'!C13</f>
        <v>0</v>
      </c>
      <c r="C6" s="916"/>
      <c r="D6" s="916"/>
      <c r="E6" s="916"/>
      <c r="F6" s="916"/>
      <c r="G6" s="916"/>
      <c r="H6" s="575"/>
      <c r="I6" s="575"/>
      <c r="J6" s="579"/>
      <c r="L6" s="460" t="s">
        <v>50</v>
      </c>
      <c r="M6" s="459">
        <f>'START HERE'!$AE$33</f>
        <v>0</v>
      </c>
      <c r="N6" s="459"/>
      <c r="O6" s="459"/>
      <c r="P6" s="459"/>
      <c r="AC6" s="382" t="s">
        <v>279</v>
      </c>
    </row>
    <row r="7" spans="1:43" x14ac:dyDescent="0.25">
      <c r="A7" s="571" t="s">
        <v>144</v>
      </c>
      <c r="B7" s="913">
        <f>'START HERE'!C14</f>
        <v>0</v>
      </c>
      <c r="C7" s="913"/>
      <c r="D7" s="913"/>
      <c r="E7" s="913"/>
      <c r="F7" s="913"/>
      <c r="G7" s="913"/>
      <c r="H7" s="575"/>
      <c r="I7" s="575"/>
      <c r="J7" s="579"/>
      <c r="L7" s="460" t="s">
        <v>51</v>
      </c>
      <c r="M7" s="459">
        <f>'START HERE'!X52</f>
        <v>0</v>
      </c>
      <c r="N7" s="459"/>
      <c r="O7" s="459"/>
      <c r="P7" s="459"/>
      <c r="AC7" s="465" t="s">
        <v>282</v>
      </c>
    </row>
    <row r="8" spans="1:43" x14ac:dyDescent="0.25">
      <c r="A8" s="571" t="s">
        <v>17</v>
      </c>
      <c r="B8" s="918">
        <f>'START HERE'!C15</f>
        <v>0</v>
      </c>
      <c r="C8" s="918"/>
      <c r="D8" s="918"/>
      <c r="E8" s="918"/>
      <c r="F8" s="918"/>
      <c r="G8" s="918"/>
      <c r="H8" s="575"/>
      <c r="I8" s="575"/>
      <c r="J8" s="579"/>
      <c r="L8" s="460" t="s">
        <v>52</v>
      </c>
      <c r="M8" s="459">
        <f>'START HERE'!$X$39</f>
        <v>0</v>
      </c>
      <c r="N8" s="459"/>
      <c r="O8" s="459"/>
      <c r="P8" s="459"/>
      <c r="AC8" s="465" t="s">
        <v>283</v>
      </c>
    </row>
    <row r="9" spans="1:43" x14ac:dyDescent="0.25">
      <c r="A9" s="580"/>
      <c r="B9" s="919"/>
      <c r="C9" s="919"/>
      <c r="D9" s="919"/>
      <c r="E9" s="919"/>
      <c r="F9" s="919"/>
      <c r="G9" s="919"/>
      <c r="H9" s="575"/>
      <c r="I9" s="575"/>
      <c r="J9" s="579"/>
      <c r="L9" s="460" t="s">
        <v>53</v>
      </c>
      <c r="M9" s="459">
        <f>'START HERE'!$V$49</f>
        <v>0</v>
      </c>
      <c r="N9" s="459"/>
      <c r="O9" s="459"/>
      <c r="P9" s="459"/>
      <c r="AC9" s="465" t="s">
        <v>284</v>
      </c>
    </row>
    <row r="10" spans="1:43" x14ac:dyDescent="0.25">
      <c r="A10" s="580"/>
      <c r="B10" s="560"/>
      <c r="C10" s="575"/>
      <c r="D10" s="575"/>
      <c r="E10" s="575"/>
      <c r="F10" s="575"/>
      <c r="G10" s="575"/>
      <c r="H10" s="575"/>
      <c r="I10" s="575"/>
      <c r="J10" s="579"/>
      <c r="L10" s="460" t="s">
        <v>54</v>
      </c>
      <c r="M10" s="463">
        <f>'START HERE'!$V$27</f>
        <v>0</v>
      </c>
      <c r="N10" s="463"/>
      <c r="O10" s="463"/>
      <c r="P10" s="463"/>
      <c r="AC10" s="465" t="s">
        <v>231</v>
      </c>
    </row>
    <row r="11" spans="1:43" s="371" customFormat="1" x14ac:dyDescent="0.25">
      <c r="A11" s="1020" t="s">
        <v>1</v>
      </c>
      <c r="B11" s="1021"/>
      <c r="C11" s="1025" t="s">
        <v>152</v>
      </c>
      <c r="D11" s="1026"/>
      <c r="E11" s="1026"/>
      <c r="F11" s="1026"/>
      <c r="G11" s="1026"/>
      <c r="H11" s="1026"/>
      <c r="I11" s="1026"/>
      <c r="J11" s="600"/>
      <c r="K11" s="383"/>
      <c r="L11" s="460" t="s">
        <v>55</v>
      </c>
      <c r="M11" s="459">
        <f>'START HERE'!$V$43</f>
        <v>0</v>
      </c>
      <c r="N11" s="459"/>
      <c r="O11" s="459"/>
      <c r="P11" s="459"/>
      <c r="Q11" s="383"/>
      <c r="R11" s="383"/>
      <c r="S11" s="383"/>
      <c r="T11" s="383"/>
      <c r="U11" s="383"/>
      <c r="V11" s="383"/>
      <c r="W11" s="383"/>
      <c r="X11" s="383"/>
      <c r="Y11" s="383"/>
      <c r="Z11" s="383"/>
      <c r="AA11" s="383"/>
      <c r="AB11" s="382"/>
      <c r="AC11" s="465" t="s">
        <v>285</v>
      </c>
      <c r="AD11" s="382"/>
      <c r="AE11" s="382"/>
      <c r="AF11" s="382"/>
      <c r="AG11" s="383"/>
      <c r="AH11" s="383"/>
      <c r="AI11" s="383"/>
      <c r="AJ11" s="383"/>
      <c r="AK11" s="383"/>
      <c r="AL11" s="383"/>
      <c r="AM11" s="383"/>
      <c r="AN11" s="383"/>
      <c r="AO11" s="383"/>
      <c r="AP11" s="383"/>
      <c r="AQ11" s="383"/>
    </row>
    <row r="12" spans="1:43" s="371" customFormat="1" ht="15.75" thickBot="1" x14ac:dyDescent="0.3">
      <c r="A12" s="601"/>
      <c r="B12" s="559"/>
      <c r="C12" s="602" t="s">
        <v>101</v>
      </c>
      <c r="D12" s="602" t="s">
        <v>102</v>
      </c>
      <c r="E12" s="602" t="s">
        <v>103</v>
      </c>
      <c r="F12" s="602" t="s">
        <v>104</v>
      </c>
      <c r="G12" s="602" t="s">
        <v>105</v>
      </c>
      <c r="H12" s="602" t="s">
        <v>106</v>
      </c>
      <c r="I12" s="602" t="s">
        <v>107</v>
      </c>
      <c r="J12" s="603" t="s">
        <v>108</v>
      </c>
      <c r="K12" s="383"/>
      <c r="L12" s="383"/>
      <c r="M12" s="383"/>
      <c r="N12" s="383"/>
      <c r="O12" s="383"/>
      <c r="P12" s="383"/>
      <c r="Q12" s="383"/>
      <c r="R12" s="383"/>
      <c r="S12" s="383"/>
      <c r="T12" s="383"/>
      <c r="U12" s="383"/>
      <c r="V12" s="383"/>
      <c r="W12" s="383"/>
      <c r="X12" s="383"/>
      <c r="Y12" s="383"/>
      <c r="Z12" s="383"/>
      <c r="AA12" s="383"/>
      <c r="AB12" s="382"/>
      <c r="AC12" s="465" t="s">
        <v>234</v>
      </c>
      <c r="AD12" s="382"/>
      <c r="AE12" s="382"/>
      <c r="AF12" s="382"/>
      <c r="AG12" s="383"/>
      <c r="AH12" s="383"/>
      <c r="AI12" s="383"/>
      <c r="AJ12" s="383"/>
      <c r="AK12" s="383"/>
      <c r="AL12" s="383"/>
      <c r="AM12" s="383"/>
      <c r="AN12" s="383"/>
      <c r="AO12" s="383"/>
      <c r="AP12" s="383"/>
      <c r="AQ12" s="383"/>
    </row>
    <row r="13" spans="1:43" s="371" customFormat="1" ht="15.75" thickTop="1" x14ac:dyDescent="0.25">
      <c r="A13" s="970" t="s">
        <v>277</v>
      </c>
      <c r="B13" s="972"/>
      <c r="C13" s="670" t="s">
        <v>279</v>
      </c>
      <c r="D13" s="670" t="s">
        <v>279</v>
      </c>
      <c r="E13" s="670" t="s">
        <v>279</v>
      </c>
      <c r="F13" s="670" t="s">
        <v>279</v>
      </c>
      <c r="G13" s="670" t="s">
        <v>279</v>
      </c>
      <c r="H13" s="670" t="s">
        <v>279</v>
      </c>
      <c r="I13" s="670" t="s">
        <v>279</v>
      </c>
      <c r="J13" s="752" t="s">
        <v>279</v>
      </c>
      <c r="K13" s="592"/>
      <c r="L13" s="383"/>
      <c r="M13" s="383"/>
      <c r="N13" s="383"/>
      <c r="O13" s="383"/>
      <c r="P13" s="383"/>
      <c r="Q13" s="383"/>
      <c r="R13" s="383"/>
      <c r="S13" s="383"/>
      <c r="T13" s="383"/>
      <c r="U13" s="383"/>
      <c r="V13" s="383"/>
      <c r="W13" s="383"/>
      <c r="X13" s="383"/>
      <c r="Y13" s="383"/>
      <c r="Z13" s="383"/>
      <c r="AA13" s="383"/>
      <c r="AB13" s="382"/>
      <c r="AC13" s="465" t="s">
        <v>278</v>
      </c>
      <c r="AD13" s="382"/>
      <c r="AE13" s="382"/>
      <c r="AF13" s="382"/>
      <c r="AG13" s="383"/>
      <c r="AH13" s="383"/>
      <c r="AI13" s="383"/>
      <c r="AJ13" s="383"/>
      <c r="AK13" s="383"/>
      <c r="AL13" s="383"/>
      <c r="AM13" s="383"/>
      <c r="AN13" s="383"/>
      <c r="AO13" s="383"/>
      <c r="AP13" s="383"/>
      <c r="AQ13" s="383"/>
    </row>
    <row r="14" spans="1:43" x14ac:dyDescent="0.25">
      <c r="A14" s="910" t="s">
        <v>165</v>
      </c>
      <c r="B14" s="911"/>
      <c r="C14" s="666"/>
      <c r="D14" s="666"/>
      <c r="E14" s="666"/>
      <c r="F14" s="666"/>
      <c r="G14" s="666"/>
      <c r="H14" s="666"/>
      <c r="I14" s="666"/>
      <c r="J14" s="667"/>
    </row>
    <row r="15" spans="1:43" x14ac:dyDescent="0.25">
      <c r="A15" s="910" t="s">
        <v>168</v>
      </c>
      <c r="B15" s="911"/>
      <c r="C15" s="668"/>
      <c r="D15" s="668"/>
      <c r="E15" s="668"/>
      <c r="F15" s="668"/>
      <c r="G15" s="668"/>
      <c r="H15" s="668"/>
      <c r="I15" s="666"/>
      <c r="J15" s="667"/>
    </row>
    <row r="16" spans="1:43" x14ac:dyDescent="0.25">
      <c r="A16" s="910" t="s">
        <v>167</v>
      </c>
      <c r="B16" s="911"/>
      <c r="C16" s="668"/>
      <c r="D16" s="668"/>
      <c r="E16" s="668"/>
      <c r="F16" s="668"/>
      <c r="G16" s="668"/>
      <c r="H16" s="668"/>
      <c r="I16" s="668"/>
      <c r="J16" s="669"/>
    </row>
    <row r="17" spans="1:44" x14ac:dyDescent="0.25">
      <c r="A17" s="910" t="s">
        <v>166</v>
      </c>
      <c r="B17" s="911"/>
      <c r="C17" s="668"/>
      <c r="D17" s="668"/>
      <c r="E17" s="668"/>
      <c r="F17" s="668"/>
      <c r="G17" s="668"/>
      <c r="H17" s="668"/>
      <c r="I17" s="668"/>
      <c r="J17" s="669"/>
      <c r="K17" s="400"/>
      <c r="L17" s="386"/>
      <c r="N17" s="205"/>
      <c r="O17" s="205"/>
      <c r="P17" s="205"/>
      <c r="Q17" s="205"/>
      <c r="R17" s="205"/>
      <c r="S17" s="205"/>
      <c r="T17" s="541" t="s">
        <v>279</v>
      </c>
      <c r="U17" s="541"/>
      <c r="AB17" s="383"/>
      <c r="AD17" s="383"/>
      <c r="AE17" s="383"/>
      <c r="AF17" s="383"/>
    </row>
    <row r="18" spans="1:44" x14ac:dyDescent="0.25">
      <c r="A18" s="910" t="s">
        <v>61</v>
      </c>
      <c r="B18" s="911"/>
      <c r="C18" s="668"/>
      <c r="D18" s="668"/>
      <c r="E18" s="668"/>
      <c r="F18" s="668"/>
      <c r="G18" s="668"/>
      <c r="H18" s="668"/>
      <c r="I18" s="668"/>
      <c r="J18" s="669"/>
      <c r="L18" s="386"/>
      <c r="N18" s="1042" t="s">
        <v>327</v>
      </c>
      <c r="O18" s="951"/>
      <c r="P18" s="951"/>
      <c r="Q18" s="951"/>
      <c r="R18" s="951"/>
      <c r="S18" s="1043"/>
      <c r="T18" s="542" t="s">
        <v>319</v>
      </c>
      <c r="U18" s="541">
        <v>1</v>
      </c>
    </row>
    <row r="19" spans="1:44" x14ac:dyDescent="0.25">
      <c r="A19" s="910" t="s">
        <v>62</v>
      </c>
      <c r="B19" s="911"/>
      <c r="C19" s="668"/>
      <c r="D19" s="668"/>
      <c r="E19" s="668"/>
      <c r="F19" s="668"/>
      <c r="G19" s="668"/>
      <c r="H19" s="668"/>
      <c r="I19" s="668"/>
      <c r="J19" s="669"/>
      <c r="L19" s="386"/>
      <c r="N19" s="1044" t="s">
        <v>2</v>
      </c>
      <c r="O19" s="1045"/>
      <c r="P19" s="1044" t="s">
        <v>3</v>
      </c>
      <c r="Q19" s="1045"/>
      <c r="R19" s="1046" t="s">
        <v>4</v>
      </c>
      <c r="S19" s="1045"/>
      <c r="T19" s="541" t="s">
        <v>320</v>
      </c>
      <c r="U19" s="541">
        <v>2</v>
      </c>
      <c r="AJ19" s="382" t="s">
        <v>186</v>
      </c>
    </row>
    <row r="20" spans="1:44" x14ac:dyDescent="0.25">
      <c r="A20" s="910" t="s">
        <v>63</v>
      </c>
      <c r="B20" s="911"/>
      <c r="C20" s="668"/>
      <c r="D20" s="668"/>
      <c r="E20" s="668"/>
      <c r="F20" s="668"/>
      <c r="G20" s="668"/>
      <c r="H20" s="668"/>
      <c r="I20" s="668"/>
      <c r="J20" s="669"/>
      <c r="L20" s="386"/>
      <c r="N20" s="1047">
        <v>100</v>
      </c>
      <c r="O20" s="1048"/>
      <c r="P20" s="1047">
        <v>250</v>
      </c>
      <c r="Q20" s="1048"/>
      <c r="R20" s="1047">
        <v>300</v>
      </c>
      <c r="S20" s="1048"/>
      <c r="T20" s="541" t="s">
        <v>321</v>
      </c>
      <c r="U20" s="541">
        <v>3</v>
      </c>
      <c r="AA20" s="446" t="s">
        <v>48</v>
      </c>
      <c r="AB20" s="446" t="s">
        <v>49</v>
      </c>
      <c r="AC20" s="446" t="s">
        <v>50</v>
      </c>
      <c r="AD20" s="446" t="s">
        <v>51</v>
      </c>
      <c r="AE20" s="446" t="s">
        <v>52</v>
      </c>
      <c r="AF20" s="446" t="s">
        <v>53</v>
      </c>
      <c r="AG20" s="446" t="s">
        <v>54</v>
      </c>
      <c r="AH20" s="446" t="s">
        <v>55</v>
      </c>
      <c r="AI20" s="382" t="s">
        <v>192</v>
      </c>
      <c r="AK20" s="425" t="s">
        <v>187</v>
      </c>
      <c r="AL20" s="382" t="s">
        <v>194</v>
      </c>
      <c r="AM20" s="382" t="s">
        <v>193</v>
      </c>
    </row>
    <row r="21" spans="1:44" x14ac:dyDescent="0.25">
      <c r="A21" s="910" t="s">
        <v>64</v>
      </c>
      <c r="B21" s="911"/>
      <c r="C21" s="668"/>
      <c r="D21" s="668"/>
      <c r="E21" s="668"/>
      <c r="F21" s="668"/>
      <c r="G21" s="668"/>
      <c r="H21" s="668"/>
      <c r="I21" s="668"/>
      <c r="J21" s="669"/>
      <c r="L21" s="386"/>
      <c r="M21" s="529"/>
      <c r="N21" s="538" t="s">
        <v>322</v>
      </c>
      <c r="O21" s="539" t="s">
        <v>323</v>
      </c>
      <c r="P21" s="540" t="s">
        <v>322</v>
      </c>
      <c r="Q21" s="538" t="s">
        <v>323</v>
      </c>
      <c r="R21" s="538" t="s">
        <v>322</v>
      </c>
      <c r="S21" s="539" t="s">
        <v>323</v>
      </c>
      <c r="T21" s="541">
        <f>IF(Q23=T18,1, IF(Q23=T19, 2, IF(Q23=T20,3,0)))</f>
        <v>0</v>
      </c>
      <c r="U21" s="541"/>
      <c r="W21" s="383"/>
      <c r="X21" s="383"/>
      <c r="Z21" s="384" t="s">
        <v>119</v>
      </c>
      <c r="AA21" s="403">
        <f t="shared" ref="AA21:AH28" si="0">C36/(C$57*C$56)</f>
        <v>0</v>
      </c>
      <c r="AB21" s="403">
        <f t="shared" si="0"/>
        <v>0</v>
      </c>
      <c r="AC21" s="403">
        <f t="shared" si="0"/>
        <v>0</v>
      </c>
      <c r="AD21" s="403">
        <f t="shared" si="0"/>
        <v>0</v>
      </c>
      <c r="AE21" s="403">
        <f t="shared" si="0"/>
        <v>0</v>
      </c>
      <c r="AF21" s="403">
        <f t="shared" si="0"/>
        <v>0</v>
      </c>
      <c r="AG21" s="403">
        <f t="shared" si="0"/>
        <v>0</v>
      </c>
      <c r="AH21" s="403">
        <f t="shared" si="0"/>
        <v>0</v>
      </c>
      <c r="AI21" s="403">
        <f t="shared" ref="AI21:AI28" si="1">SUM(AA21:AH21)</f>
        <v>0</v>
      </c>
      <c r="AJ21" s="403"/>
      <c r="AK21" s="403">
        <f t="shared" ref="AK21:AK28" si="2">SUM(C61:J61)</f>
        <v>0</v>
      </c>
      <c r="AL21" s="403">
        <f t="shared" ref="AL21:AL28" si="3">AK21*0.667</f>
        <v>0</v>
      </c>
      <c r="AM21" s="403">
        <f t="shared" ref="AM21:AM28" si="4">IF(AL21&gt;AI21,AL21,AI21)</f>
        <v>0</v>
      </c>
    </row>
    <row r="22" spans="1:44" x14ac:dyDescent="0.25">
      <c r="A22" s="910" t="s">
        <v>110</v>
      </c>
      <c r="B22" s="911"/>
      <c r="C22" s="586">
        <f>SUM(C14:C21)</f>
        <v>0</v>
      </c>
      <c r="D22" s="586">
        <f>SUM(D14:D21)</f>
        <v>0</v>
      </c>
      <c r="E22" s="586">
        <f t="shared" ref="E22:J22" si="5">SUM(E14:E21)</f>
        <v>0</v>
      </c>
      <c r="F22" s="586">
        <f t="shared" si="5"/>
        <v>0</v>
      </c>
      <c r="G22" s="586">
        <f t="shared" si="5"/>
        <v>0</v>
      </c>
      <c r="H22" s="586">
        <f t="shared" si="5"/>
        <v>0</v>
      </c>
      <c r="I22" s="586">
        <f t="shared" si="5"/>
        <v>0</v>
      </c>
      <c r="J22" s="587">
        <f t="shared" si="5"/>
        <v>0</v>
      </c>
      <c r="L22" s="386"/>
      <c r="M22" s="529"/>
      <c r="N22" s="730">
        <f>IF(T21=1,N20, IF(T21=2, IF(SUM(P20:S20)&gt;(0.47*(SUM(N20:S20))),N20,(0.53*(N20+P20+R20))), IF(T21=3, N20,0)))</f>
        <v>0</v>
      </c>
      <c r="O22" s="731">
        <f>IF(T21=1, 0,IF(T21=2, IF(SUM(P20:S20)&gt;(0.47*(SUM(N20:S20))),0,(0.47*(SUM(N20:S20)))-P20-R20),IF(T21=3,0,0)))</f>
        <v>0</v>
      </c>
      <c r="P22" s="732">
        <f>IF(T21=1,IF(N22&gt;(0.47*(SUM(N20:S20))),0,IF(S22&gt;(0.53*(SUM(N20:S20))),P20,((0.47*(SUM(N20:S20)))-N20))),IF(T21=2,0,IF(T21=3,P20,0)))</f>
        <v>0</v>
      </c>
      <c r="Q22" s="733">
        <f>IF(T21=1,IF(N22&gt;(0.47*(SUM(N20:S20))),P20,IF(S22&gt;(0.53*(SUM(N20:S20))),0,((0.53*(SUM(N20:S20)))-R20))),IF(T21=2,P20,IF(T21=3,0,0)))</f>
        <v>0</v>
      </c>
      <c r="R22" s="730">
        <f>IF(T21&gt;0,IF(T21=1,0,IF(T21=2,0,IF(T21=3, IF(SUM(N20:Q20)&gt;(0.47*(SUM(N20:S20))),0,(0.47*(SUM(N20:S20)))-P20-N20)))),0)</f>
        <v>0</v>
      </c>
      <c r="S22" s="731">
        <f>IF(T21&gt;0,IF(T21=1,R20,IF(T21=2,R20,IF(T21=3,IF(SUM(P20:S20)&gt;(0.47*(SUM(N20:Q20))),R20,(0.53*(N20+P20+R20)))))),0)</f>
        <v>0</v>
      </c>
      <c r="T22" s="541">
        <f>SUM(N20:S20)</f>
        <v>650</v>
      </c>
      <c r="U22" s="541"/>
      <c r="W22" s="383"/>
      <c r="X22" s="383"/>
      <c r="Z22" s="384" t="s">
        <v>120</v>
      </c>
      <c r="AA22" s="403">
        <f t="shared" si="0"/>
        <v>0</v>
      </c>
      <c r="AB22" s="403">
        <f t="shared" si="0"/>
        <v>0</v>
      </c>
      <c r="AC22" s="403">
        <f t="shared" si="0"/>
        <v>0</v>
      </c>
      <c r="AD22" s="403">
        <f t="shared" si="0"/>
        <v>0</v>
      </c>
      <c r="AE22" s="403">
        <f t="shared" si="0"/>
        <v>0</v>
      </c>
      <c r="AF22" s="403">
        <f t="shared" si="0"/>
        <v>0</v>
      </c>
      <c r="AG22" s="403">
        <f t="shared" si="0"/>
        <v>0</v>
      </c>
      <c r="AH22" s="403">
        <f t="shared" si="0"/>
        <v>0</v>
      </c>
      <c r="AI22" s="403">
        <f t="shared" si="1"/>
        <v>0</v>
      </c>
      <c r="AJ22" s="403"/>
      <c r="AK22" s="403">
        <f t="shared" si="2"/>
        <v>0</v>
      </c>
      <c r="AL22" s="403">
        <f t="shared" si="3"/>
        <v>0</v>
      </c>
      <c r="AM22" s="403">
        <f t="shared" si="4"/>
        <v>0</v>
      </c>
    </row>
    <row r="23" spans="1:44" s="371" customFormat="1" ht="15.75" thickBot="1" x14ac:dyDescent="0.3">
      <c r="A23" s="630"/>
      <c r="B23" s="558"/>
      <c r="C23" s="629" t="s">
        <v>111</v>
      </c>
      <c r="D23" s="808" t="s">
        <v>112</v>
      </c>
      <c r="E23" s="808" t="s">
        <v>113</v>
      </c>
      <c r="F23" s="808" t="s">
        <v>114</v>
      </c>
      <c r="G23" s="808" t="s">
        <v>115</v>
      </c>
      <c r="H23" s="808" t="s">
        <v>116</v>
      </c>
      <c r="I23" s="808" t="s">
        <v>117</v>
      </c>
      <c r="J23" s="604" t="s">
        <v>118</v>
      </c>
      <c r="K23" s="383"/>
      <c r="L23" s="385"/>
      <c r="M23" s="383"/>
      <c r="N23" s="1063" t="s">
        <v>324</v>
      </c>
      <c r="O23" s="1064"/>
      <c r="P23" s="1065"/>
      <c r="Q23" s="1060" t="s">
        <v>279</v>
      </c>
      <c r="R23" s="1061"/>
      <c r="S23" s="1062"/>
      <c r="T23" s="543">
        <f>SUM(N22:S22)</f>
        <v>0</v>
      </c>
      <c r="U23" s="543"/>
      <c r="V23" s="383"/>
      <c r="W23" s="382"/>
      <c r="X23" s="382"/>
      <c r="Y23" s="382"/>
      <c r="Z23" s="384" t="s">
        <v>109</v>
      </c>
      <c r="AA23" s="403">
        <f t="shared" si="0"/>
        <v>0</v>
      </c>
      <c r="AB23" s="403">
        <f t="shared" si="0"/>
        <v>0</v>
      </c>
      <c r="AC23" s="403">
        <f t="shared" si="0"/>
        <v>0</v>
      </c>
      <c r="AD23" s="403">
        <f t="shared" si="0"/>
        <v>0</v>
      </c>
      <c r="AE23" s="403">
        <f t="shared" si="0"/>
        <v>0</v>
      </c>
      <c r="AF23" s="403">
        <f t="shared" si="0"/>
        <v>0</v>
      </c>
      <c r="AG23" s="403">
        <f t="shared" si="0"/>
        <v>0</v>
      </c>
      <c r="AH23" s="403">
        <f t="shared" si="0"/>
        <v>0</v>
      </c>
      <c r="AI23" s="403">
        <f t="shared" si="1"/>
        <v>0</v>
      </c>
      <c r="AJ23" s="403"/>
      <c r="AK23" s="403">
        <f t="shared" si="2"/>
        <v>0</v>
      </c>
      <c r="AL23" s="403">
        <f t="shared" si="3"/>
        <v>0</v>
      </c>
      <c r="AM23" s="403">
        <f t="shared" si="4"/>
        <v>0</v>
      </c>
      <c r="AN23" s="382"/>
      <c r="AO23" s="382"/>
      <c r="AP23" s="382"/>
      <c r="AQ23" s="382"/>
      <c r="AR23" s="363"/>
    </row>
    <row r="24" spans="1:44" s="371" customFormat="1" ht="15.75" thickTop="1" x14ac:dyDescent="0.25">
      <c r="A24" s="1027" t="s">
        <v>277</v>
      </c>
      <c r="B24" s="1028"/>
      <c r="C24" s="670" t="s">
        <v>279</v>
      </c>
      <c r="D24" s="670" t="s">
        <v>279</v>
      </c>
      <c r="E24" s="670" t="s">
        <v>279</v>
      </c>
      <c r="F24" s="670" t="s">
        <v>279</v>
      </c>
      <c r="G24" s="670" t="s">
        <v>279</v>
      </c>
      <c r="H24" s="670" t="s">
        <v>279</v>
      </c>
      <c r="I24" s="670" t="s">
        <v>279</v>
      </c>
      <c r="J24" s="752" t="s">
        <v>279</v>
      </c>
      <c r="K24" s="383"/>
      <c r="L24" s="385"/>
      <c r="M24" s="383"/>
      <c r="P24" s="530" t="s">
        <v>325</v>
      </c>
      <c r="Q24" s="371" t="s">
        <v>326</v>
      </c>
      <c r="T24" s="383"/>
      <c r="U24" s="383"/>
      <c r="V24" s="383"/>
      <c r="W24" s="382"/>
      <c r="X24" s="382"/>
      <c r="Y24" s="382"/>
      <c r="Z24" s="384" t="s">
        <v>59</v>
      </c>
      <c r="AA24" s="403">
        <f t="shared" si="0"/>
        <v>0</v>
      </c>
      <c r="AB24" s="403">
        <f t="shared" si="0"/>
        <v>0</v>
      </c>
      <c r="AC24" s="403">
        <f t="shared" si="0"/>
        <v>0</v>
      </c>
      <c r="AD24" s="403">
        <f t="shared" si="0"/>
        <v>0</v>
      </c>
      <c r="AE24" s="403">
        <f t="shared" si="0"/>
        <v>0</v>
      </c>
      <c r="AF24" s="403">
        <f t="shared" si="0"/>
        <v>0</v>
      </c>
      <c r="AG24" s="403">
        <f t="shared" si="0"/>
        <v>0</v>
      </c>
      <c r="AH24" s="403">
        <f t="shared" si="0"/>
        <v>0</v>
      </c>
      <c r="AI24" s="403">
        <f t="shared" si="1"/>
        <v>0</v>
      </c>
      <c r="AJ24" s="403"/>
      <c r="AK24" s="403">
        <f t="shared" si="2"/>
        <v>0</v>
      </c>
      <c r="AL24" s="403">
        <f t="shared" si="3"/>
        <v>0</v>
      </c>
      <c r="AM24" s="403">
        <f t="shared" si="4"/>
        <v>0</v>
      </c>
      <c r="AN24" s="382"/>
      <c r="AO24" s="382"/>
      <c r="AP24" s="382"/>
      <c r="AQ24" s="382"/>
      <c r="AR24" s="363"/>
    </row>
    <row r="25" spans="1:44" x14ac:dyDescent="0.25">
      <c r="A25" s="910" t="s">
        <v>119</v>
      </c>
      <c r="B25" s="911"/>
      <c r="C25" s="666"/>
      <c r="D25" s="666"/>
      <c r="E25" s="666"/>
      <c r="F25" s="666"/>
      <c r="G25" s="666"/>
      <c r="H25" s="666"/>
      <c r="I25" s="666"/>
      <c r="J25" s="667"/>
      <c r="L25" s="386"/>
      <c r="N25" s="1059" t="s">
        <v>328</v>
      </c>
      <c r="O25" s="1059"/>
      <c r="P25" s="531">
        <f>N22+P22+R22</f>
        <v>0</v>
      </c>
      <c r="Q25" s="532" t="e">
        <f>P25/SUM(P25:P26)</f>
        <v>#DIV/0!</v>
      </c>
      <c r="R25" s="591"/>
      <c r="S25" s="591"/>
      <c r="Z25" s="384" t="s">
        <v>61</v>
      </c>
      <c r="AA25" s="403">
        <f t="shared" si="0"/>
        <v>0</v>
      </c>
      <c r="AB25" s="403">
        <f t="shared" si="0"/>
        <v>0</v>
      </c>
      <c r="AC25" s="403">
        <f t="shared" si="0"/>
        <v>0</v>
      </c>
      <c r="AD25" s="403">
        <f t="shared" si="0"/>
        <v>0</v>
      </c>
      <c r="AE25" s="403">
        <f t="shared" si="0"/>
        <v>0</v>
      </c>
      <c r="AF25" s="403">
        <f t="shared" si="0"/>
        <v>0</v>
      </c>
      <c r="AG25" s="403">
        <f t="shared" si="0"/>
        <v>0</v>
      </c>
      <c r="AH25" s="403">
        <f t="shared" si="0"/>
        <v>0</v>
      </c>
      <c r="AI25" s="403">
        <f t="shared" si="1"/>
        <v>0</v>
      </c>
      <c r="AJ25" s="403"/>
      <c r="AK25" s="403">
        <f t="shared" si="2"/>
        <v>0</v>
      </c>
      <c r="AL25" s="403">
        <f t="shared" si="3"/>
        <v>0</v>
      </c>
      <c r="AM25" s="403">
        <f t="shared" si="4"/>
        <v>0</v>
      </c>
    </row>
    <row r="26" spans="1:44" x14ac:dyDescent="0.25">
      <c r="A26" s="910" t="s">
        <v>120</v>
      </c>
      <c r="B26" s="911"/>
      <c r="C26" s="668"/>
      <c r="D26" s="668"/>
      <c r="E26" s="668"/>
      <c r="F26" s="668"/>
      <c r="G26" s="668"/>
      <c r="H26" s="668"/>
      <c r="I26" s="668"/>
      <c r="J26" s="669"/>
      <c r="K26" s="386"/>
      <c r="L26" s="386"/>
      <c r="M26" s="386"/>
      <c r="N26" s="1059" t="s">
        <v>329</v>
      </c>
      <c r="O26" s="1059"/>
      <c r="P26" s="576">
        <f>O22+Q22+S22</f>
        <v>0</v>
      </c>
      <c r="Q26" s="532" t="e">
        <f>P26/SUM(P25:P26)</f>
        <v>#DIV/0!</v>
      </c>
      <c r="R26" s="591"/>
      <c r="S26" s="591"/>
      <c r="Z26" s="384" t="s">
        <v>62</v>
      </c>
      <c r="AA26" s="403">
        <f t="shared" si="0"/>
        <v>0</v>
      </c>
      <c r="AB26" s="403">
        <f t="shared" si="0"/>
        <v>0</v>
      </c>
      <c r="AC26" s="403">
        <f t="shared" si="0"/>
        <v>0</v>
      </c>
      <c r="AD26" s="403">
        <f t="shared" si="0"/>
        <v>0</v>
      </c>
      <c r="AE26" s="403">
        <f t="shared" si="0"/>
        <v>0</v>
      </c>
      <c r="AF26" s="403">
        <f t="shared" si="0"/>
        <v>0</v>
      </c>
      <c r="AG26" s="403">
        <f t="shared" si="0"/>
        <v>0</v>
      </c>
      <c r="AH26" s="403">
        <f t="shared" si="0"/>
        <v>0</v>
      </c>
      <c r="AI26" s="403">
        <f t="shared" si="1"/>
        <v>0</v>
      </c>
      <c r="AJ26" s="403"/>
      <c r="AK26" s="403">
        <f t="shared" si="2"/>
        <v>0</v>
      </c>
      <c r="AL26" s="403">
        <f t="shared" si="3"/>
        <v>0</v>
      </c>
      <c r="AM26" s="403">
        <f t="shared" si="4"/>
        <v>0</v>
      </c>
    </row>
    <row r="27" spans="1:44" x14ac:dyDescent="0.25">
      <c r="A27" s="910" t="s">
        <v>109</v>
      </c>
      <c r="B27" s="911"/>
      <c r="C27" s="668"/>
      <c r="D27" s="668"/>
      <c r="E27" s="668"/>
      <c r="F27" s="668"/>
      <c r="G27" s="668"/>
      <c r="H27" s="668"/>
      <c r="I27" s="668"/>
      <c r="J27" s="669"/>
      <c r="K27" s="386"/>
      <c r="L27" s="386"/>
      <c r="M27" s="533"/>
      <c r="N27" s="534"/>
      <c r="O27" s="534"/>
      <c r="P27" s="533"/>
      <c r="Q27" s="535"/>
      <c r="R27" s="535"/>
      <c r="S27" s="535"/>
      <c r="T27" s="534"/>
      <c r="Z27" s="384" t="s">
        <v>63</v>
      </c>
      <c r="AA27" s="403">
        <f t="shared" si="0"/>
        <v>0</v>
      </c>
      <c r="AB27" s="403">
        <f t="shared" si="0"/>
        <v>0</v>
      </c>
      <c r="AC27" s="403">
        <f t="shared" si="0"/>
        <v>0</v>
      </c>
      <c r="AD27" s="403">
        <f t="shared" si="0"/>
        <v>0</v>
      </c>
      <c r="AE27" s="403">
        <f t="shared" si="0"/>
        <v>0</v>
      </c>
      <c r="AF27" s="403">
        <f t="shared" si="0"/>
        <v>0</v>
      </c>
      <c r="AG27" s="403">
        <f t="shared" si="0"/>
        <v>0</v>
      </c>
      <c r="AH27" s="403">
        <f t="shared" si="0"/>
        <v>0</v>
      </c>
      <c r="AI27" s="403">
        <f t="shared" si="1"/>
        <v>0</v>
      </c>
      <c r="AJ27" s="403"/>
      <c r="AK27" s="403">
        <f t="shared" si="2"/>
        <v>0</v>
      </c>
      <c r="AL27" s="403">
        <f t="shared" si="3"/>
        <v>0</v>
      </c>
      <c r="AM27" s="403">
        <f t="shared" si="4"/>
        <v>0</v>
      </c>
    </row>
    <row r="28" spans="1:44" x14ac:dyDescent="0.25">
      <c r="A28" s="910" t="s">
        <v>59</v>
      </c>
      <c r="B28" s="911"/>
      <c r="C28" s="668"/>
      <c r="D28" s="668"/>
      <c r="E28" s="668"/>
      <c r="F28" s="668"/>
      <c r="G28" s="668"/>
      <c r="H28" s="668"/>
      <c r="I28" s="668"/>
      <c r="J28" s="669"/>
      <c r="K28" s="386"/>
      <c r="L28" s="386"/>
      <c r="M28" s="533"/>
      <c r="N28" s="534"/>
      <c r="O28" s="534"/>
      <c r="P28" s="534"/>
      <c r="Q28" s="534"/>
      <c r="R28" s="534"/>
      <c r="S28" s="534"/>
      <c r="T28" s="534"/>
      <c r="Z28" s="384" t="s">
        <v>64</v>
      </c>
      <c r="AA28" s="403">
        <f t="shared" si="0"/>
        <v>0</v>
      </c>
      <c r="AB28" s="403">
        <f t="shared" si="0"/>
        <v>0</v>
      </c>
      <c r="AC28" s="403">
        <f t="shared" si="0"/>
        <v>0</v>
      </c>
      <c r="AD28" s="403">
        <f t="shared" si="0"/>
        <v>0</v>
      </c>
      <c r="AE28" s="403">
        <f t="shared" si="0"/>
        <v>0</v>
      </c>
      <c r="AF28" s="403">
        <f t="shared" si="0"/>
        <v>0</v>
      </c>
      <c r="AG28" s="403">
        <f t="shared" si="0"/>
        <v>0</v>
      </c>
      <c r="AH28" s="403">
        <f t="shared" si="0"/>
        <v>0</v>
      </c>
      <c r="AI28" s="403">
        <f t="shared" si="1"/>
        <v>0</v>
      </c>
      <c r="AJ28" s="403"/>
      <c r="AK28" s="403">
        <f t="shared" si="2"/>
        <v>0</v>
      </c>
      <c r="AL28" s="403">
        <f t="shared" si="3"/>
        <v>0</v>
      </c>
      <c r="AM28" s="403">
        <f t="shared" si="4"/>
        <v>0</v>
      </c>
    </row>
    <row r="29" spans="1:44" x14ac:dyDescent="0.25">
      <c r="A29" s="910" t="s">
        <v>61</v>
      </c>
      <c r="B29" s="911"/>
      <c r="C29" s="668"/>
      <c r="D29" s="668"/>
      <c r="E29" s="668"/>
      <c r="F29" s="668"/>
      <c r="G29" s="668"/>
      <c r="H29" s="668"/>
      <c r="I29" s="668"/>
      <c r="J29" s="669"/>
      <c r="K29" s="386"/>
      <c r="L29" s="386"/>
      <c r="M29" s="533"/>
      <c r="N29" s="537"/>
      <c r="O29" s="536"/>
      <c r="P29" s="536"/>
      <c r="Q29" s="536"/>
      <c r="R29" s="536"/>
      <c r="S29" s="536"/>
      <c r="T29" s="534"/>
      <c r="AA29" s="499">
        <f t="shared" ref="AA29:AH31" si="6">C56</f>
        <v>0.95</v>
      </c>
      <c r="AB29" s="499">
        <f t="shared" si="6"/>
        <v>0.95</v>
      </c>
      <c r="AC29" s="499">
        <f t="shared" si="6"/>
        <v>0.95</v>
      </c>
      <c r="AD29" s="499">
        <f t="shared" si="6"/>
        <v>0.95</v>
      </c>
      <c r="AE29" s="499">
        <f t="shared" si="6"/>
        <v>0.95</v>
      </c>
      <c r="AF29" s="499">
        <f t="shared" si="6"/>
        <v>0.95</v>
      </c>
      <c r="AG29" s="499">
        <f t="shared" si="6"/>
        <v>0.95</v>
      </c>
      <c r="AH29" s="499">
        <f t="shared" si="6"/>
        <v>0.95</v>
      </c>
      <c r="AI29" s="499"/>
    </row>
    <row r="30" spans="1:44" x14ac:dyDescent="0.25">
      <c r="A30" s="910" t="s">
        <v>62</v>
      </c>
      <c r="B30" s="911"/>
      <c r="C30" s="668"/>
      <c r="D30" s="668"/>
      <c r="E30" s="668"/>
      <c r="F30" s="668"/>
      <c r="G30" s="668"/>
      <c r="H30" s="668"/>
      <c r="I30" s="668"/>
      <c r="J30" s="669"/>
      <c r="K30" s="385"/>
      <c r="L30" s="386"/>
      <c r="M30" s="533"/>
      <c r="N30" s="533"/>
      <c r="O30" s="533"/>
      <c r="P30" s="533"/>
      <c r="Q30" s="533"/>
      <c r="R30" s="533"/>
      <c r="S30" s="534"/>
      <c r="T30" s="534"/>
      <c r="AA30" s="499">
        <f t="shared" si="6"/>
        <v>1</v>
      </c>
      <c r="AB30" s="499">
        <f t="shared" si="6"/>
        <v>1</v>
      </c>
      <c r="AC30" s="499">
        <f t="shared" si="6"/>
        <v>1</v>
      </c>
      <c r="AD30" s="499">
        <f t="shared" si="6"/>
        <v>1</v>
      </c>
      <c r="AE30" s="499">
        <f t="shared" si="6"/>
        <v>1</v>
      </c>
      <c r="AF30" s="499">
        <f t="shared" si="6"/>
        <v>1</v>
      </c>
      <c r="AG30" s="499">
        <f t="shared" si="6"/>
        <v>1</v>
      </c>
      <c r="AH30" s="499">
        <f t="shared" si="6"/>
        <v>1</v>
      </c>
    </row>
    <row r="31" spans="1:44" x14ac:dyDescent="0.25">
      <c r="A31" s="910" t="s">
        <v>63</v>
      </c>
      <c r="B31" s="911"/>
      <c r="C31" s="668"/>
      <c r="D31" s="668"/>
      <c r="E31" s="668"/>
      <c r="F31" s="668"/>
      <c r="G31" s="668"/>
      <c r="H31" s="668"/>
      <c r="I31" s="668"/>
      <c r="J31" s="669"/>
      <c r="K31" s="386"/>
      <c r="L31" s="386"/>
      <c r="M31" s="386"/>
      <c r="N31" s="386"/>
      <c r="O31" s="386"/>
      <c r="P31" s="386"/>
      <c r="Q31" s="386"/>
      <c r="R31" s="386"/>
      <c r="AA31" s="499">
        <f t="shared" si="6"/>
        <v>1</v>
      </c>
      <c r="AB31" s="499">
        <f t="shared" si="6"/>
        <v>1</v>
      </c>
      <c r="AC31" s="499">
        <f t="shared" si="6"/>
        <v>1</v>
      </c>
      <c r="AD31" s="499">
        <f t="shared" si="6"/>
        <v>1</v>
      </c>
      <c r="AE31" s="499">
        <f t="shared" si="6"/>
        <v>1</v>
      </c>
      <c r="AF31" s="499">
        <f t="shared" si="6"/>
        <v>1</v>
      </c>
      <c r="AG31" s="499">
        <f t="shared" si="6"/>
        <v>1</v>
      </c>
      <c r="AH31" s="499">
        <f t="shared" si="6"/>
        <v>1</v>
      </c>
    </row>
    <row r="32" spans="1:44" x14ac:dyDescent="0.25">
      <c r="A32" s="910" t="s">
        <v>64</v>
      </c>
      <c r="B32" s="911"/>
      <c r="C32" s="668"/>
      <c r="D32" s="668"/>
      <c r="E32" s="668"/>
      <c r="F32" s="668"/>
      <c r="G32" s="668"/>
      <c r="H32" s="668"/>
      <c r="I32" s="668"/>
      <c r="J32" s="669"/>
      <c r="K32" s="385"/>
      <c r="L32" s="386"/>
      <c r="M32" s="386"/>
      <c r="N32" s="386"/>
      <c r="O32" s="386"/>
      <c r="P32" s="386"/>
      <c r="Q32" s="386"/>
      <c r="R32" s="386"/>
    </row>
    <row r="33" spans="1:18" x14ac:dyDescent="0.25">
      <c r="A33" s="725"/>
      <c r="B33" s="624" t="s">
        <v>110</v>
      </c>
      <c r="C33" s="586">
        <f t="shared" ref="C33:J33" si="7">SUM(C25:C32)</f>
        <v>0</v>
      </c>
      <c r="D33" s="586">
        <f t="shared" si="7"/>
        <v>0</v>
      </c>
      <c r="E33" s="586">
        <f t="shared" si="7"/>
        <v>0</v>
      </c>
      <c r="F33" s="586">
        <f t="shared" si="7"/>
        <v>0</v>
      </c>
      <c r="G33" s="586">
        <f t="shared" si="7"/>
        <v>0</v>
      </c>
      <c r="H33" s="586">
        <f t="shared" si="7"/>
        <v>0</v>
      </c>
      <c r="I33" s="586">
        <f t="shared" si="7"/>
        <v>0</v>
      </c>
      <c r="J33" s="587">
        <f t="shared" si="7"/>
        <v>0</v>
      </c>
      <c r="K33" s="386"/>
      <c r="L33" s="386"/>
      <c r="M33" s="386"/>
      <c r="N33" s="386"/>
      <c r="O33" s="386"/>
      <c r="P33" s="386"/>
      <c r="Q33" s="386"/>
      <c r="R33" s="386"/>
    </row>
    <row r="34" spans="1:18" x14ac:dyDescent="0.25">
      <c r="A34" s="580"/>
      <c r="B34" s="575"/>
      <c r="C34" s="590"/>
      <c r="D34" s="590"/>
      <c r="E34" s="590"/>
      <c r="F34" s="590"/>
      <c r="G34" s="590"/>
      <c r="H34" s="590"/>
      <c r="I34" s="590"/>
      <c r="J34" s="710"/>
      <c r="K34" s="386"/>
      <c r="L34" s="386"/>
      <c r="M34" s="386"/>
      <c r="N34" s="386"/>
      <c r="O34" s="386"/>
      <c r="P34" s="386"/>
      <c r="Q34" s="386"/>
      <c r="R34" s="386"/>
    </row>
    <row r="35" spans="1:18" ht="15.75" hidden="1" thickBot="1" x14ac:dyDescent="0.3">
      <c r="A35" s="630" t="s">
        <v>121</v>
      </c>
      <c r="B35" s="551" t="s">
        <v>121</v>
      </c>
      <c r="C35" s="808" t="s">
        <v>28</v>
      </c>
      <c r="D35" s="808" t="s">
        <v>29</v>
      </c>
      <c r="E35" s="808" t="s">
        <v>30</v>
      </c>
      <c r="F35" s="808" t="s">
        <v>31</v>
      </c>
      <c r="G35" s="808" t="s">
        <v>32</v>
      </c>
      <c r="H35" s="808" t="s">
        <v>33</v>
      </c>
      <c r="I35" s="808" t="s">
        <v>68</v>
      </c>
      <c r="J35" s="604" t="s">
        <v>35</v>
      </c>
      <c r="K35" s="385"/>
      <c r="L35" s="385"/>
      <c r="M35" s="385"/>
      <c r="N35" s="385"/>
      <c r="O35" s="385"/>
      <c r="P35" s="385"/>
      <c r="Q35" s="385"/>
      <c r="R35" s="386"/>
    </row>
    <row r="36" spans="1:18" hidden="1" x14ac:dyDescent="0.25">
      <c r="A36" s="555" t="s">
        <v>119</v>
      </c>
      <c r="B36" s="552" t="s">
        <v>119</v>
      </c>
      <c r="C36" s="584">
        <f t="shared" ref="C36:C43" si="8">IF(C$44=C$22,C14,D14)</f>
        <v>0</v>
      </c>
      <c r="D36" s="584">
        <f t="shared" ref="D36:D43" si="9">IF(D$44=E$22,E14,F14)</f>
        <v>0</v>
      </c>
      <c r="E36" s="584">
        <f t="shared" ref="E36:E43" si="10">IF(E$44=G$22,G14,H14)</f>
        <v>0</v>
      </c>
      <c r="F36" s="584">
        <f t="shared" ref="F36:F43" si="11">IF(F$44=I$22,I14,J14)</f>
        <v>0</v>
      </c>
      <c r="G36" s="584">
        <f t="shared" ref="G36:G43" si="12">IF(G$44=C$33,C25,D25)</f>
        <v>0</v>
      </c>
      <c r="H36" s="584">
        <f t="shared" ref="H36:H43" si="13">IF(H$44=E$33,E25,F25)</f>
        <v>0</v>
      </c>
      <c r="I36" s="584">
        <f t="shared" ref="I36:I43" si="14">IF(I$44=G$33,G25,H25)</f>
        <v>0</v>
      </c>
      <c r="J36" s="585">
        <f t="shared" ref="J36:J43" si="15">IF(J$44=I$33,I25,J25)</f>
        <v>0</v>
      </c>
      <c r="K36" s="385"/>
      <c r="L36" s="385"/>
      <c r="M36" s="385"/>
      <c r="N36" s="385"/>
      <c r="O36" s="385"/>
      <c r="P36" s="385"/>
      <c r="Q36" s="385"/>
      <c r="R36" s="386"/>
    </row>
    <row r="37" spans="1:18" hidden="1" x14ac:dyDescent="0.25">
      <c r="A37" s="556" t="s">
        <v>120</v>
      </c>
      <c r="B37" s="553" t="s">
        <v>120</v>
      </c>
      <c r="C37" s="586">
        <f t="shared" si="8"/>
        <v>0</v>
      </c>
      <c r="D37" s="586">
        <f t="shared" si="9"/>
        <v>0</v>
      </c>
      <c r="E37" s="586">
        <f t="shared" si="10"/>
        <v>0</v>
      </c>
      <c r="F37" s="586">
        <f t="shared" si="11"/>
        <v>0</v>
      </c>
      <c r="G37" s="586">
        <f t="shared" si="12"/>
        <v>0</v>
      </c>
      <c r="H37" s="586">
        <f t="shared" si="13"/>
        <v>0</v>
      </c>
      <c r="I37" s="586">
        <f t="shared" si="14"/>
        <v>0</v>
      </c>
      <c r="J37" s="587">
        <f t="shared" si="15"/>
        <v>0</v>
      </c>
      <c r="K37" s="385"/>
      <c r="L37" s="385"/>
      <c r="M37" s="385"/>
      <c r="N37" s="385"/>
      <c r="O37" s="385"/>
      <c r="P37" s="385"/>
      <c r="Q37" s="385"/>
      <c r="R37" s="386"/>
    </row>
    <row r="38" spans="1:18" hidden="1" x14ac:dyDescent="0.25">
      <c r="A38" s="556" t="s">
        <v>109</v>
      </c>
      <c r="B38" s="553" t="s">
        <v>109</v>
      </c>
      <c r="C38" s="586">
        <f t="shared" si="8"/>
        <v>0</v>
      </c>
      <c r="D38" s="586">
        <f t="shared" si="9"/>
        <v>0</v>
      </c>
      <c r="E38" s="586">
        <f t="shared" si="10"/>
        <v>0</v>
      </c>
      <c r="F38" s="586">
        <f t="shared" si="11"/>
        <v>0</v>
      </c>
      <c r="G38" s="586">
        <f t="shared" si="12"/>
        <v>0</v>
      </c>
      <c r="H38" s="586">
        <f t="shared" si="13"/>
        <v>0</v>
      </c>
      <c r="I38" s="586">
        <f t="shared" si="14"/>
        <v>0</v>
      </c>
      <c r="J38" s="587">
        <f t="shared" si="15"/>
        <v>0</v>
      </c>
      <c r="K38" s="386"/>
      <c r="L38" s="393"/>
      <c r="M38" s="393"/>
      <c r="N38" s="393"/>
      <c r="O38" s="393"/>
      <c r="P38" s="393"/>
      <c r="Q38" s="387"/>
      <c r="R38" s="386"/>
    </row>
    <row r="39" spans="1:18" hidden="1" x14ac:dyDescent="0.25">
      <c r="A39" s="556" t="s">
        <v>59</v>
      </c>
      <c r="B39" s="553" t="s">
        <v>59</v>
      </c>
      <c r="C39" s="586">
        <f t="shared" si="8"/>
        <v>0</v>
      </c>
      <c r="D39" s="586">
        <f t="shared" si="9"/>
        <v>0</v>
      </c>
      <c r="E39" s="586">
        <f t="shared" si="10"/>
        <v>0</v>
      </c>
      <c r="F39" s="586">
        <f t="shared" si="11"/>
        <v>0</v>
      </c>
      <c r="G39" s="586">
        <f t="shared" si="12"/>
        <v>0</v>
      </c>
      <c r="H39" s="586">
        <f t="shared" si="13"/>
        <v>0</v>
      </c>
      <c r="I39" s="586">
        <f t="shared" si="14"/>
        <v>0</v>
      </c>
      <c r="J39" s="587">
        <f t="shared" si="15"/>
        <v>0</v>
      </c>
      <c r="K39" s="400"/>
      <c r="L39" s="393"/>
      <c r="M39" s="386"/>
      <c r="N39" s="386"/>
      <c r="O39" s="386"/>
      <c r="P39" s="386"/>
      <c r="Q39" s="386"/>
      <c r="R39" s="386"/>
    </row>
    <row r="40" spans="1:18" hidden="1" x14ac:dyDescent="0.25">
      <c r="A40" s="556" t="s">
        <v>61</v>
      </c>
      <c r="B40" s="553" t="s">
        <v>61</v>
      </c>
      <c r="C40" s="586">
        <f t="shared" si="8"/>
        <v>0</v>
      </c>
      <c r="D40" s="586">
        <f t="shared" si="9"/>
        <v>0</v>
      </c>
      <c r="E40" s="586">
        <f t="shared" si="10"/>
        <v>0</v>
      </c>
      <c r="F40" s="586">
        <f t="shared" si="11"/>
        <v>0</v>
      </c>
      <c r="G40" s="586">
        <f t="shared" si="12"/>
        <v>0</v>
      </c>
      <c r="H40" s="586">
        <f t="shared" si="13"/>
        <v>0</v>
      </c>
      <c r="I40" s="586">
        <f t="shared" si="14"/>
        <v>0</v>
      </c>
      <c r="J40" s="587">
        <f t="shared" si="15"/>
        <v>0</v>
      </c>
      <c r="K40" s="401"/>
      <c r="L40" s="393"/>
      <c r="M40" s="401"/>
      <c r="N40" s="401"/>
      <c r="O40" s="401"/>
      <c r="P40" s="401"/>
      <c r="Q40" s="386"/>
      <c r="R40" s="386"/>
    </row>
    <row r="41" spans="1:18" hidden="1" x14ac:dyDescent="0.25">
      <c r="A41" s="556" t="s">
        <v>62</v>
      </c>
      <c r="B41" s="553" t="s">
        <v>62</v>
      </c>
      <c r="C41" s="586">
        <f t="shared" si="8"/>
        <v>0</v>
      </c>
      <c r="D41" s="586">
        <f t="shared" si="9"/>
        <v>0</v>
      </c>
      <c r="E41" s="586">
        <f t="shared" si="10"/>
        <v>0</v>
      </c>
      <c r="F41" s="586">
        <f t="shared" si="11"/>
        <v>0</v>
      </c>
      <c r="G41" s="586">
        <f t="shared" si="12"/>
        <v>0</v>
      </c>
      <c r="H41" s="586">
        <f t="shared" si="13"/>
        <v>0</v>
      </c>
      <c r="I41" s="586">
        <f t="shared" si="14"/>
        <v>0</v>
      </c>
      <c r="J41" s="587">
        <f t="shared" si="15"/>
        <v>0</v>
      </c>
      <c r="K41" s="386"/>
      <c r="L41" s="386"/>
      <c r="M41" s="384"/>
      <c r="N41" s="384"/>
      <c r="O41" s="384"/>
      <c r="P41" s="384"/>
      <c r="Q41" s="387"/>
      <c r="R41" s="386"/>
    </row>
    <row r="42" spans="1:18" hidden="1" x14ac:dyDescent="0.25">
      <c r="A42" s="556" t="s">
        <v>63</v>
      </c>
      <c r="B42" s="553" t="s">
        <v>63</v>
      </c>
      <c r="C42" s="586">
        <f t="shared" si="8"/>
        <v>0</v>
      </c>
      <c r="D42" s="586">
        <f t="shared" si="9"/>
        <v>0</v>
      </c>
      <c r="E42" s="586">
        <f t="shared" si="10"/>
        <v>0</v>
      </c>
      <c r="F42" s="586">
        <f t="shared" si="11"/>
        <v>0</v>
      </c>
      <c r="G42" s="586">
        <f t="shared" si="12"/>
        <v>0</v>
      </c>
      <c r="H42" s="586">
        <f t="shared" si="13"/>
        <v>0</v>
      </c>
      <c r="I42" s="586">
        <f t="shared" si="14"/>
        <v>0</v>
      </c>
      <c r="J42" s="587">
        <f t="shared" si="15"/>
        <v>0</v>
      </c>
      <c r="K42" s="388"/>
      <c r="L42" s="389"/>
      <c r="M42" s="389"/>
      <c r="N42" s="389"/>
      <c r="O42" s="389"/>
      <c r="P42" s="389"/>
      <c r="Q42" s="389"/>
      <c r="R42" s="386"/>
    </row>
    <row r="43" spans="1:18" hidden="1" x14ac:dyDescent="0.25">
      <c r="A43" s="556" t="s">
        <v>64</v>
      </c>
      <c r="B43" s="553" t="s">
        <v>64</v>
      </c>
      <c r="C43" s="586">
        <f t="shared" si="8"/>
        <v>0</v>
      </c>
      <c r="D43" s="586">
        <f t="shared" si="9"/>
        <v>0</v>
      </c>
      <c r="E43" s="586">
        <f t="shared" si="10"/>
        <v>0</v>
      </c>
      <c r="F43" s="586">
        <f t="shared" si="11"/>
        <v>0</v>
      </c>
      <c r="G43" s="586">
        <f t="shared" si="12"/>
        <v>0</v>
      </c>
      <c r="H43" s="586">
        <f t="shared" si="13"/>
        <v>0</v>
      </c>
      <c r="I43" s="586">
        <f t="shared" si="14"/>
        <v>0</v>
      </c>
      <c r="J43" s="587">
        <f t="shared" si="15"/>
        <v>0</v>
      </c>
      <c r="K43" s="390"/>
      <c r="L43" s="391"/>
      <c r="M43" s="391"/>
      <c r="N43" s="391"/>
      <c r="O43" s="391"/>
      <c r="P43" s="391"/>
      <c r="Q43" s="391"/>
      <c r="R43" s="386"/>
    </row>
    <row r="44" spans="1:18" hidden="1" x14ac:dyDescent="0.25">
      <c r="A44" s="556" t="s">
        <v>110</v>
      </c>
      <c r="B44" s="553" t="s">
        <v>110</v>
      </c>
      <c r="C44" s="586">
        <f>IF(C22&gt;D22,C22,D22)</f>
        <v>0</v>
      </c>
      <c r="D44" s="586">
        <f>IF(E22&gt;F22,E22,F22)</f>
        <v>0</v>
      </c>
      <c r="E44" s="586">
        <f>IF(G22&gt;H22,G22,H22)</f>
        <v>0</v>
      </c>
      <c r="F44" s="586">
        <f>IF(I22&gt;J22,I22,J22)</f>
        <v>0</v>
      </c>
      <c r="G44" s="586">
        <f>IF(C33&gt;D33,C33,D33)</f>
        <v>0</v>
      </c>
      <c r="H44" s="586">
        <f>IF(E33&gt;F33,E33,F33)</f>
        <v>0</v>
      </c>
      <c r="I44" s="586">
        <f>IF(G33&gt;H33,G33,H33)</f>
        <v>0</v>
      </c>
      <c r="J44" s="587">
        <f>IF(I33&gt;J33,I33,J33)</f>
        <v>0</v>
      </c>
      <c r="K44" s="390"/>
      <c r="L44" s="385"/>
      <c r="M44" s="385"/>
      <c r="N44" s="385"/>
      <c r="O44" s="385"/>
      <c r="P44" s="385"/>
      <c r="Q44" s="385"/>
      <c r="R44" s="386"/>
    </row>
    <row r="45" spans="1:18" hidden="1" x14ac:dyDescent="0.25">
      <c r="A45" s="556" t="s">
        <v>215</v>
      </c>
      <c r="B45" s="553" t="s">
        <v>215</v>
      </c>
      <c r="C45" s="590">
        <f>SUM(C22:D22)</f>
        <v>0</v>
      </c>
      <c r="D45" s="590">
        <f>SUM(E22:F22)</f>
        <v>0</v>
      </c>
      <c r="E45" s="590">
        <f>SUM(G22:H22)</f>
        <v>0</v>
      </c>
      <c r="F45" s="590">
        <f>SUM(I22:J22)</f>
        <v>0</v>
      </c>
      <c r="G45" s="590">
        <f>SUM(C33:D33)</f>
        <v>0</v>
      </c>
      <c r="H45" s="590">
        <f>SUM(E33:F33)</f>
        <v>0</v>
      </c>
      <c r="I45" s="590">
        <f>SUM(G33:H33)</f>
        <v>0</v>
      </c>
      <c r="J45" s="625">
        <f>SUM(I33:J33)</f>
        <v>0</v>
      </c>
      <c r="K45" s="390"/>
      <c r="L45" s="385"/>
      <c r="M45" s="385"/>
      <c r="N45" s="385"/>
      <c r="O45" s="385"/>
      <c r="P45" s="385"/>
      <c r="Q45" s="385"/>
      <c r="R45" s="386"/>
    </row>
    <row r="46" spans="1:18" x14ac:dyDescent="0.25">
      <c r="A46" s="807"/>
      <c r="B46" s="792"/>
      <c r="C46" s="664"/>
      <c r="D46" s="664"/>
      <c r="E46" s="664"/>
      <c r="F46" s="664"/>
      <c r="G46" s="664"/>
      <c r="H46" s="664"/>
      <c r="I46" s="664"/>
      <c r="J46" s="711"/>
      <c r="K46" s="390"/>
      <c r="L46" s="385"/>
      <c r="M46" s="485"/>
      <c r="N46" s="485"/>
      <c r="O46" s="485"/>
      <c r="P46" s="485"/>
      <c r="Q46" s="385"/>
      <c r="R46" s="386"/>
    </row>
    <row r="47" spans="1:18" ht="15.75" thickBot="1" x14ac:dyDescent="0.3">
      <c r="A47" s="557"/>
      <c r="B47" s="554"/>
      <c r="C47" s="629" t="s">
        <v>28</v>
      </c>
      <c r="D47" s="808" t="s">
        <v>29</v>
      </c>
      <c r="E47" s="808" t="s">
        <v>30</v>
      </c>
      <c r="F47" s="808" t="s">
        <v>31</v>
      </c>
      <c r="G47" s="808" t="s">
        <v>32</v>
      </c>
      <c r="H47" s="808" t="s">
        <v>33</v>
      </c>
      <c r="I47" s="808" t="s">
        <v>68</v>
      </c>
      <c r="J47" s="604" t="s">
        <v>35</v>
      </c>
      <c r="K47" s="390"/>
      <c r="L47" s="385"/>
      <c r="M47" s="485"/>
      <c r="N47" s="485"/>
      <c r="O47" s="485"/>
      <c r="P47" s="485"/>
      <c r="Q47" s="385"/>
      <c r="R47" s="386"/>
    </row>
    <row r="48" spans="1:18" ht="15.75" thickTop="1" x14ac:dyDescent="0.25">
      <c r="A48" s="998" t="s">
        <v>280</v>
      </c>
      <c r="B48" s="999"/>
      <c r="C48" s="586">
        <f>IF(SUM(C14:C21)&gt;0,(IF(SUM(D14:D21)&gt;0,2,1)),(IF(SUM(D14:D21)&gt;0,1,0)))</f>
        <v>0</v>
      </c>
      <c r="D48" s="586">
        <f>IF(SUM(E14:E21)&gt;0,(IF(SUM(F14:F21)&gt;0,2,1)),(IF(SUM(F14:F21)&gt;0,1,0)))</f>
        <v>0</v>
      </c>
      <c r="E48" s="586">
        <f>IF(SUM(G14:G21)&gt;0,(IF(SUM(H14:H21)&gt;0,2,1)),(IF(SUM(H14:H21)&gt;0,1,0)))</f>
        <v>0</v>
      </c>
      <c r="F48" s="586">
        <f>IF(SUM(I14:I21)&gt;0,(IF(SUM(J14:J21)&gt;0,2,1)),(IF(SUM(J14:J21)&gt;0,1,0)))</f>
        <v>0</v>
      </c>
      <c r="G48" s="586">
        <f>IF(SUM(C25:C32)&gt;0,(IF(SUM(D25:D32)&gt;0,2,1)),(IF(SUM(D25:D32)&gt;0,1,0)))</f>
        <v>0</v>
      </c>
      <c r="H48" s="586">
        <f>IF(SUM(E25:E32)&gt;0,(IF(SUM(F25:F32)&gt;0,2,1)),(IF(SUM(F25:F32)&gt;0,1,0)))</f>
        <v>0</v>
      </c>
      <c r="I48" s="586">
        <f>IF(SUM(G25:G32)&gt;0,(IF(SUM(H25:H32)&gt;0,2,1)),(IF(SUM(H25:H32)&gt;0,1,0)))</f>
        <v>0</v>
      </c>
      <c r="J48" s="587">
        <f>IF(SUM(I25:I32)&gt;0,(IF(SUM(J25:J32)&gt;0,2,1)),(IF(SUM(J25:J32)&gt;0,1,0)))</f>
        <v>0</v>
      </c>
      <c r="K48" s="390"/>
      <c r="L48" s="385"/>
      <c r="M48" s="485"/>
      <c r="N48" s="485"/>
      <c r="O48" s="485"/>
      <c r="P48" s="485"/>
      <c r="Q48" s="385"/>
      <c r="R48" s="386"/>
    </row>
    <row r="49" spans="1:41" ht="15" customHeight="1" x14ac:dyDescent="0.25">
      <c r="A49" s="1000" t="s">
        <v>281</v>
      </c>
      <c r="B49" s="1001"/>
      <c r="C49" s="639">
        <v>2</v>
      </c>
      <c r="D49" s="639">
        <v>2</v>
      </c>
      <c r="E49" s="639">
        <v>2</v>
      </c>
      <c r="F49" s="639">
        <v>2</v>
      </c>
      <c r="G49" s="639">
        <v>2</v>
      </c>
      <c r="H49" s="639">
        <v>2</v>
      </c>
      <c r="I49" s="639">
        <v>2</v>
      </c>
      <c r="J49" s="657">
        <v>2</v>
      </c>
      <c r="K49" s="390"/>
      <c r="L49" s="385"/>
      <c r="M49" s="385"/>
      <c r="N49" s="385"/>
      <c r="O49" s="385"/>
      <c r="P49" s="385"/>
      <c r="Q49" s="385"/>
      <c r="R49" s="386"/>
    </row>
    <row r="50" spans="1:41" ht="16.5" customHeight="1" x14ac:dyDescent="0.25">
      <c r="A50" s="726"/>
      <c r="B50" s="792"/>
      <c r="C50" s="796"/>
      <c r="D50" s="796"/>
      <c r="E50" s="796"/>
      <c r="F50" s="796"/>
      <c r="G50" s="796"/>
      <c r="H50" s="796"/>
      <c r="I50" s="796"/>
      <c r="J50" s="626"/>
      <c r="K50" s="390"/>
      <c r="L50" s="393"/>
      <c r="M50" s="393"/>
      <c r="N50" s="393"/>
      <c r="O50" s="393"/>
      <c r="P50" s="393"/>
      <c r="Q50" s="387"/>
      <c r="R50" s="386"/>
    </row>
    <row r="51" spans="1:41" ht="15.75" thickBot="1" x14ac:dyDescent="0.3">
      <c r="A51" s="1002" t="s">
        <v>67</v>
      </c>
      <c r="B51" s="1003"/>
      <c r="C51" s="808" t="s">
        <v>28</v>
      </c>
      <c r="D51" s="808" t="s">
        <v>29</v>
      </c>
      <c r="E51" s="808" t="s">
        <v>30</v>
      </c>
      <c r="F51" s="808" t="s">
        <v>31</v>
      </c>
      <c r="G51" s="808" t="s">
        <v>32</v>
      </c>
      <c r="H51" s="808" t="s">
        <v>33</v>
      </c>
      <c r="I51" s="808" t="s">
        <v>68</v>
      </c>
      <c r="J51" s="604" t="s">
        <v>35</v>
      </c>
      <c r="K51" s="390"/>
      <c r="L51" s="393"/>
      <c r="AK51" s="447" t="s">
        <v>184</v>
      </c>
      <c r="AL51" s="447"/>
      <c r="AM51" s="447"/>
      <c r="AN51" s="447"/>
      <c r="AO51" s="447"/>
    </row>
    <row r="52" spans="1:41" ht="15.75" thickTop="1" x14ac:dyDescent="0.25">
      <c r="A52" s="1004" t="s">
        <v>0</v>
      </c>
      <c r="B52" s="1005"/>
      <c r="C52" s="781">
        <f>1-C53-C54</f>
        <v>1</v>
      </c>
      <c r="D52" s="781">
        <f t="shared" ref="D52:J52" si="16">1-D53-D54</f>
        <v>1</v>
      </c>
      <c r="E52" s="781">
        <f t="shared" si="16"/>
        <v>1</v>
      </c>
      <c r="F52" s="781">
        <f t="shared" si="16"/>
        <v>1</v>
      </c>
      <c r="G52" s="781">
        <f t="shared" si="16"/>
        <v>1</v>
      </c>
      <c r="H52" s="781">
        <f t="shared" si="16"/>
        <v>1</v>
      </c>
      <c r="I52" s="781">
        <f t="shared" si="16"/>
        <v>1</v>
      </c>
      <c r="J52" s="782">
        <f t="shared" si="16"/>
        <v>1</v>
      </c>
      <c r="K52" s="388"/>
      <c r="L52" s="386"/>
      <c r="AJ52" s="386"/>
      <c r="AK52" s="445" t="s">
        <v>48</v>
      </c>
      <c r="AL52" s="448">
        <f t="shared" ref="AL52:AL57" si="17">AM21</f>
        <v>0</v>
      </c>
      <c r="AM52" s="448">
        <f t="shared" ref="AM52:AM59" si="18">SUM(C61:J61)</f>
        <v>0</v>
      </c>
      <c r="AO52" s="447"/>
    </row>
    <row r="53" spans="1:41" x14ac:dyDescent="0.25">
      <c r="A53" s="1006" t="s">
        <v>268</v>
      </c>
      <c r="B53" s="1007"/>
      <c r="C53" s="783">
        <v>0</v>
      </c>
      <c r="D53" s="784">
        <v>0</v>
      </c>
      <c r="E53" s="784">
        <v>0</v>
      </c>
      <c r="F53" s="784">
        <v>0</v>
      </c>
      <c r="G53" s="784">
        <v>0</v>
      </c>
      <c r="H53" s="784">
        <v>0</v>
      </c>
      <c r="I53" s="784">
        <v>0</v>
      </c>
      <c r="J53" s="785">
        <v>0</v>
      </c>
      <c r="K53" s="402"/>
      <c r="L53" s="387"/>
      <c r="M53" s="421" t="s">
        <v>147</v>
      </c>
      <c r="N53" s="527"/>
      <c r="O53" s="527"/>
      <c r="P53" s="527"/>
      <c r="Q53" s="422"/>
      <c r="AJ53" s="386"/>
      <c r="AK53" s="445" t="s">
        <v>49</v>
      </c>
      <c r="AL53" s="448">
        <f t="shared" si="17"/>
        <v>0</v>
      </c>
      <c r="AM53" s="448">
        <f t="shared" si="18"/>
        <v>0</v>
      </c>
      <c r="AO53" s="447" t="s">
        <v>190</v>
      </c>
    </row>
    <row r="54" spans="1:41" x14ac:dyDescent="0.25">
      <c r="A54" s="948" t="s">
        <v>132</v>
      </c>
      <c r="B54" s="949"/>
      <c r="C54" s="783">
        <v>0</v>
      </c>
      <c r="D54" s="783">
        <v>0</v>
      </c>
      <c r="E54" s="783">
        <v>0</v>
      </c>
      <c r="F54" s="783">
        <v>0</v>
      </c>
      <c r="G54" s="783">
        <v>0</v>
      </c>
      <c r="H54" s="783">
        <v>0</v>
      </c>
      <c r="I54" s="783">
        <v>0</v>
      </c>
      <c r="J54" s="786">
        <v>0</v>
      </c>
      <c r="K54" s="402"/>
      <c r="L54" s="387"/>
      <c r="M54" s="470" t="s">
        <v>6</v>
      </c>
      <c r="N54" s="528"/>
      <c r="O54" s="528"/>
      <c r="P54" s="528"/>
      <c r="Q54" s="405" t="s">
        <v>7</v>
      </c>
      <c r="AJ54" s="386"/>
      <c r="AK54" s="445" t="s">
        <v>50</v>
      </c>
      <c r="AL54" s="448">
        <f t="shared" si="17"/>
        <v>0</v>
      </c>
      <c r="AM54" s="448">
        <f t="shared" si="18"/>
        <v>0</v>
      </c>
      <c r="AO54" s="382" t="s">
        <v>296</v>
      </c>
    </row>
    <row r="55" spans="1:41" ht="15.75" thickBot="1" x14ac:dyDescent="0.3">
      <c r="A55" s="948" t="s">
        <v>271</v>
      </c>
      <c r="B55" s="949"/>
      <c r="C55" s="681">
        <v>0</v>
      </c>
      <c r="D55" s="681">
        <v>0</v>
      </c>
      <c r="E55" s="681">
        <v>0</v>
      </c>
      <c r="F55" s="681">
        <v>0</v>
      </c>
      <c r="G55" s="681">
        <v>0</v>
      </c>
      <c r="H55" s="681">
        <v>0</v>
      </c>
      <c r="I55" s="681">
        <v>0</v>
      </c>
      <c r="J55" s="682">
        <v>0</v>
      </c>
      <c r="K55" s="386"/>
      <c r="L55" s="393"/>
      <c r="M55" s="470" t="s">
        <v>289</v>
      </c>
      <c r="N55" s="528"/>
      <c r="O55" s="528"/>
      <c r="P55" s="528"/>
      <c r="Q55" s="428">
        <v>1</v>
      </c>
      <c r="AJ55" s="386"/>
      <c r="AK55" s="445" t="s">
        <v>51</v>
      </c>
      <c r="AL55" s="448">
        <f t="shared" si="17"/>
        <v>0</v>
      </c>
      <c r="AM55" s="448">
        <f t="shared" si="18"/>
        <v>0</v>
      </c>
      <c r="AO55" s="447" t="s">
        <v>189</v>
      </c>
    </row>
    <row r="56" spans="1:41" ht="16.5" thickTop="1" thickBot="1" x14ac:dyDescent="0.3">
      <c r="A56" s="1008" t="s">
        <v>5</v>
      </c>
      <c r="B56" s="1009"/>
      <c r="C56" s="598">
        <v>0.95</v>
      </c>
      <c r="D56" s="598">
        <v>0.95</v>
      </c>
      <c r="E56" s="598">
        <v>0.95</v>
      </c>
      <c r="F56" s="598">
        <v>0.95</v>
      </c>
      <c r="G56" s="598">
        <v>0.95</v>
      </c>
      <c r="H56" s="598">
        <v>0.95</v>
      </c>
      <c r="I56" s="598">
        <v>0.95</v>
      </c>
      <c r="J56" s="609">
        <v>0.95</v>
      </c>
      <c r="K56" s="385"/>
      <c r="L56" s="386"/>
      <c r="M56" s="470" t="s">
        <v>270</v>
      </c>
      <c r="N56" s="528"/>
      <c r="O56" s="528"/>
      <c r="P56" s="528"/>
      <c r="Q56" s="428">
        <v>2</v>
      </c>
      <c r="AJ56" s="386"/>
      <c r="AK56" s="445" t="s">
        <v>52</v>
      </c>
      <c r="AL56" s="448">
        <f t="shared" si="17"/>
        <v>0</v>
      </c>
      <c r="AM56" s="448">
        <f t="shared" si="18"/>
        <v>0</v>
      </c>
      <c r="AO56" s="447"/>
    </row>
    <row r="57" spans="1:41" ht="16.5" thickTop="1" x14ac:dyDescent="0.25">
      <c r="A57" s="1006" t="s">
        <v>122</v>
      </c>
      <c r="B57" s="1007"/>
      <c r="C57" s="716">
        <f t="shared" ref="C57:J57" si="19">IF(C$44=0,1,1/(1+(C$53*($Q$56-1))+(C$54*($Q$57-1))))</f>
        <v>1</v>
      </c>
      <c r="D57" s="716">
        <f t="shared" si="19"/>
        <v>1</v>
      </c>
      <c r="E57" s="716">
        <f t="shared" si="19"/>
        <v>1</v>
      </c>
      <c r="F57" s="716">
        <f t="shared" si="19"/>
        <v>1</v>
      </c>
      <c r="G57" s="716">
        <f t="shared" si="19"/>
        <v>1</v>
      </c>
      <c r="H57" s="716">
        <f t="shared" si="19"/>
        <v>1</v>
      </c>
      <c r="I57" s="716">
        <f t="shared" si="19"/>
        <v>1</v>
      </c>
      <c r="J57" s="717">
        <f t="shared" si="19"/>
        <v>1</v>
      </c>
      <c r="K57" s="385"/>
      <c r="L57" s="386"/>
      <c r="M57" s="470" t="s">
        <v>290</v>
      </c>
      <c r="N57" s="528"/>
      <c r="O57" s="528"/>
      <c r="P57" s="528"/>
      <c r="Q57" s="428">
        <v>0.5</v>
      </c>
      <c r="Y57" s="591" t="s">
        <v>83</v>
      </c>
      <c r="Z57" s="591"/>
      <c r="AJ57" s="386"/>
      <c r="AK57" s="445" t="s">
        <v>53</v>
      </c>
      <c r="AL57" s="448">
        <f t="shared" si="17"/>
        <v>0</v>
      </c>
      <c r="AM57" s="448">
        <f t="shared" si="18"/>
        <v>0</v>
      </c>
      <c r="AO57" s="447" t="s">
        <v>238</v>
      </c>
    </row>
    <row r="58" spans="1:41" ht="16.5" thickBot="1" x14ac:dyDescent="0.35">
      <c r="A58" s="948" t="s">
        <v>269</v>
      </c>
      <c r="B58" s="949"/>
      <c r="C58" s="824">
        <f>IF(C55&lt;100,(MIN((1-(C55/100)*(1-(1260.6-(0.329*C72)-(0.381*100))/(1380-(0.5*C72)))),1)),(MIN(((1260.6-(0.329*C72)-(0.381*C55))/(1380-(0.5*C72))),1)))</f>
        <v>1</v>
      </c>
      <c r="D58" s="824">
        <f t="shared" ref="D58:J58" si="20">IF(D55&lt;100,(MIN((1-(D55/100)*(1-(1260.6-(0.329*D72)-(0.381*100))/(1380-(0.5*D72)))),1)),(MIN(((1260.6-(0.329*D72)-(0.381*D55))/(1380-(0.5*D72))),1)))</f>
        <v>1</v>
      </c>
      <c r="E58" s="824">
        <f t="shared" si="20"/>
        <v>1</v>
      </c>
      <c r="F58" s="824">
        <f t="shared" si="20"/>
        <v>1</v>
      </c>
      <c r="G58" s="824">
        <f t="shared" si="20"/>
        <v>1</v>
      </c>
      <c r="H58" s="824">
        <f t="shared" si="20"/>
        <v>1</v>
      </c>
      <c r="I58" s="824">
        <f t="shared" si="20"/>
        <v>1</v>
      </c>
      <c r="J58" s="825">
        <f t="shared" si="20"/>
        <v>1</v>
      </c>
      <c r="K58" s="385"/>
      <c r="L58" s="386"/>
      <c r="M58" s="470"/>
      <c r="N58" s="528"/>
      <c r="O58" s="528"/>
      <c r="P58" s="528"/>
      <c r="Q58" s="428"/>
      <c r="Y58" s="595" t="s">
        <v>84</v>
      </c>
      <c r="Z58" s="424" t="s">
        <v>185</v>
      </c>
      <c r="AJ58" s="386"/>
      <c r="AK58" s="445" t="s">
        <v>54</v>
      </c>
      <c r="AL58" s="448">
        <f>AM27</f>
        <v>0</v>
      </c>
      <c r="AM58" s="448">
        <f t="shared" si="18"/>
        <v>0</v>
      </c>
      <c r="AN58" s="363"/>
      <c r="AO58" s="447" t="s">
        <v>239</v>
      </c>
    </row>
    <row r="59" spans="1:41" ht="13.5" customHeight="1" x14ac:dyDescent="0.25">
      <c r="A59" s="828"/>
      <c r="B59" s="828"/>
      <c r="C59" s="577"/>
      <c r="D59" s="577"/>
      <c r="E59" s="577"/>
      <c r="F59" s="577"/>
      <c r="G59" s="577"/>
      <c r="H59" s="577"/>
      <c r="I59" s="577"/>
      <c r="J59" s="577"/>
      <c r="K59" s="390"/>
      <c r="L59" s="393"/>
      <c r="M59" s="408" t="s">
        <v>148</v>
      </c>
      <c r="N59" s="408"/>
      <c r="O59" s="408"/>
      <c r="P59" s="408"/>
      <c r="Q59" s="429">
        <v>25</v>
      </c>
      <c r="S59" s="386"/>
      <c r="Y59" s="396">
        <v>0.01</v>
      </c>
      <c r="Z59" s="396" t="s">
        <v>86</v>
      </c>
      <c r="AJ59" s="386"/>
      <c r="AK59" s="445" t="s">
        <v>55</v>
      </c>
      <c r="AL59" s="448">
        <f>AM28</f>
        <v>0</v>
      </c>
      <c r="AM59" s="448">
        <f t="shared" si="18"/>
        <v>0</v>
      </c>
      <c r="AO59" s="447"/>
    </row>
    <row r="60" spans="1:41" ht="11.25" customHeight="1" thickBot="1" x14ac:dyDescent="0.3">
      <c r="A60" s="1010" t="s">
        <v>70</v>
      </c>
      <c r="B60" s="1011"/>
      <c r="C60" s="826" t="s">
        <v>28</v>
      </c>
      <c r="D60" s="826" t="s">
        <v>29</v>
      </c>
      <c r="E60" s="826" t="s">
        <v>30</v>
      </c>
      <c r="F60" s="826" t="s">
        <v>31</v>
      </c>
      <c r="G60" s="826" t="s">
        <v>32</v>
      </c>
      <c r="H60" s="826" t="s">
        <v>33</v>
      </c>
      <c r="I60" s="826" t="s">
        <v>68</v>
      </c>
      <c r="J60" s="827" t="s">
        <v>35</v>
      </c>
      <c r="K60" s="390"/>
      <c r="L60" s="394"/>
      <c r="R60" s="384"/>
      <c r="T60" s="327" t="s">
        <v>170</v>
      </c>
      <c r="U60" s="447"/>
      <c r="V60" s="447"/>
      <c r="W60" s="447"/>
      <c r="X60" s="447"/>
      <c r="Y60" s="396">
        <v>10</v>
      </c>
      <c r="Z60" s="396" t="s">
        <v>87</v>
      </c>
      <c r="AJ60" s="386"/>
      <c r="AM60" s="448"/>
      <c r="AN60" s="447"/>
      <c r="AO60" s="447"/>
    </row>
    <row r="61" spans="1:41" ht="11.25" customHeight="1" thickTop="1" x14ac:dyDescent="0.25">
      <c r="A61" s="569"/>
      <c r="B61" s="566" t="s">
        <v>123</v>
      </c>
      <c r="C61" s="564">
        <f t="shared" ref="C61:C68" si="21">SUM(C14:D14)/(C$56*C$57)</f>
        <v>0</v>
      </c>
      <c r="D61" s="564">
        <f t="shared" ref="D61:D68" si="22">SUM(E14:F14)/(D$56*D$57)</f>
        <v>0</v>
      </c>
      <c r="E61" s="564">
        <f t="shared" ref="E61:E68" si="23">SUM(G14:H14)/(E$56*E$57)</f>
        <v>0</v>
      </c>
      <c r="F61" s="564">
        <f t="shared" ref="F61:F68" si="24">SUM(I14:J14)/(F$56*F$57)</f>
        <v>0</v>
      </c>
      <c r="G61" s="564">
        <f t="shared" ref="G61:G68" si="25">SUM(C25:D25)/(G$56*G$57)</f>
        <v>0</v>
      </c>
      <c r="H61" s="564">
        <f t="shared" ref="H61:H68" si="26">SUM(E25:F25)/(H$56*H$57)</f>
        <v>0</v>
      </c>
      <c r="I61" s="564">
        <f t="shared" ref="I61:I68" si="27">SUM(G25:H25)/(I$56*I$57)</f>
        <v>0</v>
      </c>
      <c r="J61" s="565">
        <f t="shared" ref="J61:J68" si="28">SUM(I25:J25)/(J$56*J$57)</f>
        <v>0</v>
      </c>
      <c r="K61" s="390"/>
      <c r="L61" s="395"/>
      <c r="R61" s="544"/>
      <c r="T61" s="328" t="s">
        <v>91</v>
      </c>
      <c r="U61" s="447"/>
      <c r="V61" s="447"/>
      <c r="W61" s="447"/>
      <c r="X61" s="447"/>
      <c r="Y61" s="396">
        <v>15</v>
      </c>
      <c r="Z61" s="396" t="s">
        <v>88</v>
      </c>
      <c r="AK61" s="445"/>
      <c r="AL61" s="448"/>
    </row>
    <row r="62" spans="1:41" ht="11.25" customHeight="1" x14ac:dyDescent="0.25">
      <c r="A62" s="570"/>
      <c r="B62" s="561" t="s">
        <v>124</v>
      </c>
      <c r="C62" s="562">
        <f t="shared" si="21"/>
        <v>0</v>
      </c>
      <c r="D62" s="562">
        <f t="shared" si="22"/>
        <v>0</v>
      </c>
      <c r="E62" s="562">
        <f t="shared" si="23"/>
        <v>0</v>
      </c>
      <c r="F62" s="562">
        <f t="shared" si="24"/>
        <v>0</v>
      </c>
      <c r="G62" s="562">
        <f t="shared" si="25"/>
        <v>0</v>
      </c>
      <c r="H62" s="562">
        <f t="shared" si="26"/>
        <v>0</v>
      </c>
      <c r="I62" s="562">
        <f t="shared" si="27"/>
        <v>0</v>
      </c>
      <c r="J62" s="563">
        <f t="shared" si="28"/>
        <v>0</v>
      </c>
      <c r="K62" s="390"/>
      <c r="L62" s="387"/>
      <c r="R62" s="544"/>
      <c r="T62" s="447"/>
      <c r="U62" s="447"/>
      <c r="V62" s="447" t="s">
        <v>93</v>
      </c>
      <c r="W62" s="447" t="s">
        <v>9</v>
      </c>
      <c r="X62" s="447"/>
      <c r="Y62" s="396">
        <v>25</v>
      </c>
      <c r="Z62" s="396" t="s">
        <v>47</v>
      </c>
      <c r="AK62" s="445"/>
      <c r="AL62" s="448"/>
    </row>
    <row r="63" spans="1:41" ht="11.25" customHeight="1" x14ac:dyDescent="0.25">
      <c r="A63" s="570"/>
      <c r="B63" s="561" t="s">
        <v>73</v>
      </c>
      <c r="C63" s="562">
        <f t="shared" si="21"/>
        <v>0</v>
      </c>
      <c r="D63" s="562">
        <f t="shared" si="22"/>
        <v>0</v>
      </c>
      <c r="E63" s="562">
        <f t="shared" si="23"/>
        <v>0</v>
      </c>
      <c r="F63" s="562">
        <f t="shared" si="24"/>
        <v>0</v>
      </c>
      <c r="G63" s="562">
        <f t="shared" si="25"/>
        <v>0</v>
      </c>
      <c r="H63" s="562">
        <f t="shared" si="26"/>
        <v>0</v>
      </c>
      <c r="I63" s="562">
        <f t="shared" si="27"/>
        <v>0</v>
      </c>
      <c r="J63" s="563">
        <f t="shared" si="28"/>
        <v>0</v>
      </c>
      <c r="K63" s="390"/>
      <c r="L63" s="393"/>
      <c r="R63" s="544"/>
      <c r="T63" s="447" t="s">
        <v>90</v>
      </c>
      <c r="U63" s="447"/>
      <c r="V63" s="328" t="s">
        <v>46</v>
      </c>
      <c r="W63" s="328" t="s">
        <v>46</v>
      </c>
      <c r="X63" s="328"/>
      <c r="Y63" s="396">
        <v>35</v>
      </c>
      <c r="Z63" s="396" t="s">
        <v>30</v>
      </c>
      <c r="AK63" s="445"/>
      <c r="AL63" s="448"/>
    </row>
    <row r="64" spans="1:41" ht="11.25" customHeight="1" x14ac:dyDescent="0.25">
      <c r="A64" s="570"/>
      <c r="B64" s="561" t="s">
        <v>74</v>
      </c>
      <c r="C64" s="562">
        <f t="shared" si="21"/>
        <v>0</v>
      </c>
      <c r="D64" s="562">
        <f t="shared" si="22"/>
        <v>0</v>
      </c>
      <c r="E64" s="562">
        <f t="shared" si="23"/>
        <v>0</v>
      </c>
      <c r="F64" s="562">
        <f t="shared" si="24"/>
        <v>0</v>
      </c>
      <c r="G64" s="562">
        <f t="shared" si="25"/>
        <v>0</v>
      </c>
      <c r="H64" s="562">
        <f t="shared" si="26"/>
        <v>0</v>
      </c>
      <c r="I64" s="562">
        <f t="shared" si="27"/>
        <v>0</v>
      </c>
      <c r="J64" s="563">
        <f t="shared" si="28"/>
        <v>0</v>
      </c>
      <c r="K64" s="386"/>
      <c r="L64" s="386"/>
      <c r="R64" s="544"/>
      <c r="T64" s="330" t="s">
        <v>95</v>
      </c>
      <c r="U64" s="331"/>
      <c r="V64" s="332">
        <v>40</v>
      </c>
      <c r="W64" s="332">
        <v>20</v>
      </c>
      <c r="X64" s="339"/>
      <c r="Y64" s="396">
        <v>50</v>
      </c>
      <c r="Z64" s="396" t="s">
        <v>66</v>
      </c>
      <c r="AK64" s="445"/>
      <c r="AL64" s="448"/>
    </row>
    <row r="65" spans="1:43" ht="11.25" customHeight="1" x14ac:dyDescent="0.25">
      <c r="A65" s="570"/>
      <c r="B65" s="561" t="s">
        <v>75</v>
      </c>
      <c r="C65" s="562">
        <f t="shared" si="21"/>
        <v>0</v>
      </c>
      <c r="D65" s="562">
        <f t="shared" si="22"/>
        <v>0</v>
      </c>
      <c r="E65" s="562">
        <f t="shared" si="23"/>
        <v>0</v>
      </c>
      <c r="F65" s="562">
        <f t="shared" si="24"/>
        <v>0</v>
      </c>
      <c r="G65" s="562">
        <f t="shared" si="25"/>
        <v>0</v>
      </c>
      <c r="H65" s="562">
        <f t="shared" si="26"/>
        <v>0</v>
      </c>
      <c r="I65" s="562">
        <f t="shared" si="27"/>
        <v>0</v>
      </c>
      <c r="J65" s="563">
        <f t="shared" si="28"/>
        <v>0</v>
      </c>
      <c r="K65" s="386"/>
      <c r="L65" s="386"/>
      <c r="R65" s="544"/>
      <c r="T65" s="328" t="s">
        <v>96</v>
      </c>
      <c r="U65" s="331"/>
      <c r="V65" s="332">
        <v>20</v>
      </c>
      <c r="W65" s="332">
        <v>20</v>
      </c>
      <c r="X65" s="339"/>
      <c r="Y65" s="387" t="s">
        <v>84</v>
      </c>
      <c r="Z65" s="390" t="s">
        <v>182</v>
      </c>
      <c r="AK65" s="445"/>
      <c r="AL65" s="448"/>
    </row>
    <row r="66" spans="1:43" ht="11.25" customHeight="1" x14ac:dyDescent="0.25">
      <c r="A66" s="570"/>
      <c r="B66" s="561" t="s">
        <v>76</v>
      </c>
      <c r="C66" s="562">
        <f t="shared" si="21"/>
        <v>0</v>
      </c>
      <c r="D66" s="562">
        <f t="shared" si="22"/>
        <v>0</v>
      </c>
      <c r="E66" s="562">
        <f t="shared" si="23"/>
        <v>0</v>
      </c>
      <c r="F66" s="562">
        <f t="shared" si="24"/>
        <v>0</v>
      </c>
      <c r="G66" s="562">
        <f t="shared" si="25"/>
        <v>0</v>
      </c>
      <c r="H66" s="562">
        <f t="shared" si="26"/>
        <v>0</v>
      </c>
      <c r="I66" s="562">
        <f t="shared" si="27"/>
        <v>0</v>
      </c>
      <c r="J66" s="563">
        <f t="shared" si="28"/>
        <v>0</v>
      </c>
      <c r="R66" s="386"/>
      <c r="T66" s="447" t="s">
        <v>97</v>
      </c>
      <c r="U66" s="447"/>
      <c r="V66" s="335">
        <v>30</v>
      </c>
      <c r="W66" s="335">
        <v>30</v>
      </c>
      <c r="X66" s="468"/>
      <c r="Y66" s="387">
        <v>0.01</v>
      </c>
      <c r="Z66" s="387" t="s">
        <v>86</v>
      </c>
      <c r="AK66" s="445"/>
      <c r="AL66" s="448"/>
    </row>
    <row r="67" spans="1:43" ht="11.25" customHeight="1" x14ac:dyDescent="0.25">
      <c r="A67" s="570"/>
      <c r="B67" s="561" t="s">
        <v>77</v>
      </c>
      <c r="C67" s="562">
        <f t="shared" si="21"/>
        <v>0</v>
      </c>
      <c r="D67" s="562">
        <f t="shared" si="22"/>
        <v>0</v>
      </c>
      <c r="E67" s="562">
        <f t="shared" si="23"/>
        <v>0</v>
      </c>
      <c r="F67" s="562">
        <f t="shared" si="24"/>
        <v>0</v>
      </c>
      <c r="G67" s="562">
        <f t="shared" si="25"/>
        <v>0</v>
      </c>
      <c r="H67" s="562">
        <f t="shared" si="26"/>
        <v>0</v>
      </c>
      <c r="I67" s="562">
        <f t="shared" si="27"/>
        <v>0</v>
      </c>
      <c r="J67" s="563">
        <f t="shared" si="28"/>
        <v>0</v>
      </c>
      <c r="T67" s="447" t="s">
        <v>98</v>
      </c>
      <c r="U67" s="447"/>
      <c r="V67" s="335">
        <v>4</v>
      </c>
      <c r="W67" s="335">
        <v>4</v>
      </c>
      <c r="X67" s="468"/>
      <c r="Y67" s="387">
        <v>10</v>
      </c>
      <c r="Z67" s="387" t="s">
        <v>87</v>
      </c>
      <c r="AK67" s="445"/>
      <c r="AL67" s="448"/>
    </row>
    <row r="68" spans="1:43" ht="11.25" customHeight="1" x14ac:dyDescent="0.25">
      <c r="A68" s="570"/>
      <c r="B68" s="561" t="s">
        <v>78</v>
      </c>
      <c r="C68" s="562">
        <f t="shared" si="21"/>
        <v>0</v>
      </c>
      <c r="D68" s="562">
        <f t="shared" si="22"/>
        <v>0</v>
      </c>
      <c r="E68" s="562">
        <f t="shared" si="23"/>
        <v>0</v>
      </c>
      <c r="F68" s="562">
        <f t="shared" si="24"/>
        <v>0</v>
      </c>
      <c r="G68" s="562">
        <f t="shared" si="25"/>
        <v>0</v>
      </c>
      <c r="H68" s="562">
        <f t="shared" si="26"/>
        <v>0</v>
      </c>
      <c r="I68" s="562">
        <f t="shared" si="27"/>
        <v>0</v>
      </c>
      <c r="J68" s="563">
        <f t="shared" si="28"/>
        <v>0</v>
      </c>
      <c r="M68" s="476"/>
      <c r="N68" s="476"/>
      <c r="O68" s="476"/>
      <c r="P68" s="476"/>
      <c r="Q68" s="386"/>
      <c r="R68" s="477"/>
      <c r="S68" s="394"/>
      <c r="T68" s="447" t="s">
        <v>99</v>
      </c>
      <c r="U68" s="447"/>
      <c r="V68" s="335">
        <v>4</v>
      </c>
      <c r="W68" s="335">
        <v>4</v>
      </c>
      <c r="X68" s="468"/>
      <c r="Y68" s="387">
        <v>20</v>
      </c>
      <c r="Z68" s="387" t="s">
        <v>88</v>
      </c>
      <c r="AK68" s="445"/>
      <c r="AL68" s="448"/>
    </row>
    <row r="69" spans="1:43" ht="11.25" customHeight="1" x14ac:dyDescent="0.25">
      <c r="A69" s="570"/>
      <c r="B69" s="561" t="s">
        <v>79</v>
      </c>
      <c r="C69" s="562">
        <f>SUM(C61:C68)</f>
        <v>0</v>
      </c>
      <c r="D69" s="562">
        <f t="shared" ref="D69:J69" si="29">SUM(D61:D68)</f>
        <v>0</v>
      </c>
      <c r="E69" s="562">
        <f t="shared" si="29"/>
        <v>0</v>
      </c>
      <c r="F69" s="562">
        <f t="shared" si="29"/>
        <v>0</v>
      </c>
      <c r="G69" s="562">
        <f t="shared" si="29"/>
        <v>0</v>
      </c>
      <c r="H69" s="562">
        <f t="shared" si="29"/>
        <v>0</v>
      </c>
      <c r="I69" s="562">
        <f t="shared" si="29"/>
        <v>0</v>
      </c>
      <c r="J69" s="563">
        <f t="shared" si="29"/>
        <v>0</v>
      </c>
      <c r="M69" s="476"/>
      <c r="N69" s="476"/>
      <c r="O69" s="476"/>
      <c r="P69" s="476"/>
      <c r="Q69" s="386"/>
      <c r="R69" s="477"/>
      <c r="S69" s="394"/>
      <c r="T69" s="447" t="s">
        <v>100</v>
      </c>
      <c r="U69" s="447"/>
      <c r="V69" s="335">
        <v>40</v>
      </c>
      <c r="W69" s="335">
        <v>40</v>
      </c>
      <c r="X69" s="468"/>
      <c r="Y69" s="387">
        <v>35</v>
      </c>
      <c r="Z69" s="387" t="s">
        <v>47</v>
      </c>
    </row>
    <row r="70" spans="1:43" ht="11.25" customHeight="1" x14ac:dyDescent="0.25">
      <c r="A70" s="570"/>
      <c r="B70" s="561" t="s">
        <v>286</v>
      </c>
      <c r="C70" s="562">
        <f>(SUM(C14:C21))/(C$56*C$57)</f>
        <v>0</v>
      </c>
      <c r="D70" s="562">
        <f>(SUM(E14:E21))/(D$56*D$57)</f>
        <v>0</v>
      </c>
      <c r="E70" s="562">
        <f>(SUM(G14:G21))/(E$56*E$57)</f>
        <v>0</v>
      </c>
      <c r="F70" s="562">
        <f>(SUM(I14:I21))/(F$56*F$57)</f>
        <v>0</v>
      </c>
      <c r="G70" s="562">
        <f>(SUM(C25:C32))/(G$56*G$57)</f>
        <v>0</v>
      </c>
      <c r="H70" s="562">
        <f>(SUM(E25:E32))/(H$56*H$57)</f>
        <v>0</v>
      </c>
      <c r="I70" s="562">
        <f>(SUM(G25:G32))/(I$56*I$57)</f>
        <v>0</v>
      </c>
      <c r="J70" s="563">
        <f>(SUM(I25:I32))/(J$56*J$57)</f>
        <v>0</v>
      </c>
      <c r="M70" s="476"/>
      <c r="N70" s="476"/>
      <c r="O70" s="476"/>
      <c r="P70" s="476"/>
      <c r="Q70" s="386"/>
      <c r="R70" s="477"/>
      <c r="S70" s="394"/>
      <c r="T70" s="447"/>
      <c r="U70" s="447"/>
      <c r="V70" s="447"/>
      <c r="W70" s="447"/>
      <c r="X70" s="447"/>
      <c r="Y70" s="387">
        <v>55</v>
      </c>
      <c r="Z70" s="387" t="s">
        <v>30</v>
      </c>
    </row>
    <row r="71" spans="1:43" ht="11.25" customHeight="1" x14ac:dyDescent="0.25">
      <c r="A71" s="570"/>
      <c r="B71" s="561" t="s">
        <v>287</v>
      </c>
      <c r="C71" s="562">
        <f>(SUM(D14:D21))/(C$56*C$57)</f>
        <v>0</v>
      </c>
      <c r="D71" s="562">
        <f>(SUM(F14:F21))/(D$56*D$57)</f>
        <v>0</v>
      </c>
      <c r="E71" s="562">
        <f>(SUM(H14:H21))/(E$56*E$57)</f>
        <v>0</v>
      </c>
      <c r="F71" s="562">
        <f>(SUM(J14:J21))/(F$56*F$57)</f>
        <v>0</v>
      </c>
      <c r="G71" s="562">
        <f>(SUM(D25:D32))/(G$56*G$57)</f>
        <v>0</v>
      </c>
      <c r="H71" s="562">
        <f>(SUM(F25:F32))/(H$56*H$57)</f>
        <v>0</v>
      </c>
      <c r="I71" s="562">
        <f>(SUM(H25:H32))/(I$56*I$57)</f>
        <v>0</v>
      </c>
      <c r="J71" s="563">
        <f>(SUM(J25:J32))/(J$56*J$57)</f>
        <v>0</v>
      </c>
      <c r="M71" s="476"/>
      <c r="N71" s="476"/>
      <c r="O71" s="476"/>
      <c r="P71" s="476"/>
      <c r="Q71" s="386"/>
      <c r="R71" s="477"/>
      <c r="S71" s="394"/>
      <c r="T71" s="466" t="s">
        <v>32</v>
      </c>
      <c r="U71" s="447"/>
      <c r="V71" s="447">
        <f>(1.6*(V68-V67))/V69</f>
        <v>0</v>
      </c>
      <c r="W71" s="447">
        <f>(1.6*(W68-W67))/W69</f>
        <v>0</v>
      </c>
      <c r="X71" s="447"/>
      <c r="Y71" s="387">
        <v>80</v>
      </c>
      <c r="Z71" s="387" t="s">
        <v>66</v>
      </c>
    </row>
    <row r="72" spans="1:43" ht="11.25" customHeight="1" x14ac:dyDescent="0.3">
      <c r="A72" s="570"/>
      <c r="B72" s="561" t="s">
        <v>80</v>
      </c>
      <c r="C72" s="562">
        <f>IF(SUM(C61:C68)=0,0,SUM(D62:D68)+SUM(E63:E68)+SUM(F64:F68)+SUM(G65:G68)+SUM(H66:H68)+SUM(I67:I68)+SUM(J68))</f>
        <v>0</v>
      </c>
      <c r="D72" s="562">
        <f>IF(SUM(D61:D68)=0,0,SUM(C61)+E61+SUM(E63:E68)+SUM(F64:F68)+F61+G61+SUM(G65:G68)+SUM(H66:H68)+H61+I61+SUM(I67:I68)+J61+J68)</f>
        <v>0</v>
      </c>
      <c r="E72" s="562">
        <f>IF(SUM(E61:E68)=0,0,SUM(C61:C62)+SUM(D62)+SUM(F61:F62)+SUM(F64:F68)+SUM(G61:G62)+SUM(G65:G68)+SUM(H61:H62)+SUM(H66:H68)+SUM(I61:I62)+SUM(I67:I68)+SUM(J61:J62)+J68)</f>
        <v>0</v>
      </c>
      <c r="F72" s="562">
        <f>IF(SUM(F61:F68)=0,0,SUM(C61:C63)+SUM(D62:D63)+SUM(E63)+SUM(G61:G63)+SUM(G65:G68)+SUM(H61:H63)+SUM(H66:H68)+SUM(I61:I63)+SUM(I67:I68)+SUM(J61:J63)+J68)</f>
        <v>0</v>
      </c>
      <c r="G72" s="562">
        <f>IF(SUM(G61:G68)=0,0,SUM(C61:C64)+SUM(D62:D64)+SUM(E63:E64)+SUM(F64)+SUM(H61:H64)+SUM(H66:H68)+SUM(I61:I64)+SUM(I67:I68)+SUM(J61:J64)+J68)</f>
        <v>0</v>
      </c>
      <c r="H72" s="562">
        <f>IF(SUM(H61:H68)=0,0,SUM(C61:C65)+SUM(D62:D65)+SUM(E63:E65)+SUM(F64:F65)+SUM(G65)+SUM(I61:I65)+SUM(I67:I68)+SUM(J61:J65)+J68)</f>
        <v>0</v>
      </c>
      <c r="I72" s="562">
        <f>IF(SUM(I61:I68)=0,0,SUM(C61:C66)+SUM(D62:D66)+SUM(E63:E66)+SUM(F64:F66)+SUM(G65:G66)+H66+SUM(J61:J66)+J68)</f>
        <v>0</v>
      </c>
      <c r="J72" s="563">
        <f>IF(SUM(J61:J68)=0,0,SUM(C61:C67)+SUM(D62:D67)+SUM(E63:E67)+SUM(F64:F67)+SUM(G65:G67)+SUM(H66:H67)+I67)</f>
        <v>0</v>
      </c>
      <c r="M72" s="476"/>
      <c r="N72" s="476"/>
      <c r="O72" s="476"/>
      <c r="P72" s="476"/>
      <c r="Q72" s="386"/>
      <c r="R72" s="389"/>
      <c r="S72" s="394"/>
      <c r="T72" s="467" t="s">
        <v>258</v>
      </c>
      <c r="U72" s="447"/>
      <c r="V72" s="340">
        <f>1+(0.5/(1+(EXP((V64-60)/10))))</f>
        <v>1.4403985389889411</v>
      </c>
      <c r="W72" s="340">
        <f>1+(0.5/(1+(EXP((W64-60)/10))))</f>
        <v>1.4910068950189541</v>
      </c>
      <c r="X72" s="340"/>
      <c r="Y72" s="387"/>
      <c r="Z72" s="387"/>
    </row>
    <row r="73" spans="1:43" ht="5.25" customHeight="1" x14ac:dyDescent="0.25">
      <c r="A73" s="580"/>
      <c r="B73" s="550"/>
      <c r="C73" s="575"/>
      <c r="D73" s="575"/>
      <c r="E73" s="575"/>
      <c r="F73" s="575"/>
      <c r="G73" s="575"/>
      <c r="H73" s="575"/>
      <c r="I73" s="575"/>
      <c r="J73" s="728" t="s">
        <v>344</v>
      </c>
      <c r="M73" s="476"/>
      <c r="N73" s="476"/>
      <c r="O73" s="476"/>
      <c r="P73" s="476"/>
      <c r="Q73" s="386"/>
      <c r="R73" s="389"/>
      <c r="S73" s="394"/>
      <c r="T73" s="468"/>
      <c r="U73" s="447"/>
      <c r="V73" s="447"/>
      <c r="W73" s="447"/>
      <c r="X73" s="447"/>
      <c r="Y73" s="387"/>
      <c r="Z73" s="387"/>
    </row>
    <row r="74" spans="1:43" ht="21.75" customHeight="1" thickBot="1" x14ac:dyDescent="0.35">
      <c r="A74" s="1012" t="s">
        <v>202</v>
      </c>
      <c r="B74" s="1013"/>
      <c r="C74" s="1013"/>
      <c r="D74" s="1013"/>
      <c r="E74" s="1013"/>
      <c r="F74" s="1013"/>
      <c r="G74" s="1013"/>
      <c r="H74" s="1013"/>
      <c r="I74" s="1013"/>
      <c r="J74" s="1014"/>
      <c r="M74" s="476"/>
      <c r="N74" s="476"/>
      <c r="O74" s="476"/>
      <c r="P74" s="476"/>
      <c r="Q74" s="386"/>
      <c r="R74" s="473"/>
      <c r="S74" s="394"/>
      <c r="T74" s="467" t="s">
        <v>259</v>
      </c>
      <c r="U74" s="447"/>
      <c r="V74" s="447">
        <f>V67+((V68-V67)/(1+(2*V71)))</f>
        <v>4</v>
      </c>
      <c r="W74" s="447">
        <f>W67+((W68-W67)/(1+(2*W71)))</f>
        <v>4</v>
      </c>
      <c r="X74" s="447"/>
      <c r="Y74" s="387"/>
      <c r="Z74" s="387"/>
    </row>
    <row r="75" spans="1:43" ht="15.75" hidden="1" customHeight="1" thickTop="1" x14ac:dyDescent="0.25">
      <c r="A75" s="996" t="s">
        <v>341</v>
      </c>
      <c r="B75" s="997"/>
      <c r="C75" s="971" t="s">
        <v>28</v>
      </c>
      <c r="D75" s="972"/>
      <c r="E75" s="971" t="s">
        <v>30</v>
      </c>
      <c r="F75" s="972"/>
      <c r="G75" s="971" t="s">
        <v>32</v>
      </c>
      <c r="H75" s="972"/>
      <c r="I75" s="971" t="s">
        <v>34</v>
      </c>
      <c r="J75" s="1015"/>
      <c r="M75" s="386"/>
      <c r="N75" s="386"/>
      <c r="O75" s="386"/>
      <c r="P75" s="386"/>
      <c r="Q75" s="384"/>
      <c r="R75" s="480"/>
      <c r="S75" s="481"/>
      <c r="T75" s="467" t="s">
        <v>66</v>
      </c>
      <c r="U75" s="447"/>
      <c r="V75" s="447">
        <f>303*V74</f>
        <v>1212</v>
      </c>
      <c r="W75" s="447">
        <f>303*W74</f>
        <v>1212</v>
      </c>
      <c r="X75" s="447"/>
    </row>
    <row r="76" spans="1:43" s="491" customFormat="1" ht="15.75" hidden="1" x14ac:dyDescent="0.3">
      <c r="A76" s="1023" t="s">
        <v>312</v>
      </c>
      <c r="B76" s="1024"/>
      <c r="C76" s="684" t="str">
        <f>IF(C$13="select","Lane 1",C$13)</f>
        <v>Lane 1</v>
      </c>
      <c r="D76" s="685" t="str">
        <f>IF(D$13="select","Lane 2",D$13)</f>
        <v>Lane 2</v>
      </c>
      <c r="E76" s="686" t="str">
        <f>IF(G$13="select","Lane 1",G$13)</f>
        <v>Lane 1</v>
      </c>
      <c r="F76" s="687" t="str">
        <f>IF(H$13="select","Lane 2",H$13)</f>
        <v>Lane 2</v>
      </c>
      <c r="G76" s="688" t="str">
        <f>IF(C$24="select","Lane 1",C$24)</f>
        <v>Lane 1</v>
      </c>
      <c r="H76" s="685" t="str">
        <f>IF(D$24="select","Lane 2",D$24)</f>
        <v>Lane 2</v>
      </c>
      <c r="I76" s="686" t="str">
        <f>IF(G$24="select","Lane 1",G$24)</f>
        <v>Lane 1</v>
      </c>
      <c r="J76" s="691" t="str">
        <f>IF(H$24="select","Lane 2",H$24)</f>
        <v>Lane 2</v>
      </c>
      <c r="K76" s="486"/>
      <c r="L76" s="486"/>
      <c r="M76" s="487"/>
      <c r="N76" s="487"/>
      <c r="O76" s="487"/>
      <c r="P76" s="487"/>
      <c r="Q76" s="488"/>
      <c r="R76" s="489"/>
      <c r="S76" s="490"/>
      <c r="T76" s="467" t="s">
        <v>260</v>
      </c>
      <c r="U76" s="447"/>
      <c r="V76" s="342">
        <f>(1+(0.2*V74))*(V72*0.21)</f>
        <v>0.54447064773781972</v>
      </c>
      <c r="W76" s="447">
        <f>(1+(0.2*W74))*(W72*0.21)</f>
        <v>0.56360060631716458</v>
      </c>
      <c r="X76" s="447"/>
      <c r="Y76" s="486"/>
      <c r="Z76" s="486"/>
      <c r="AA76" s="486"/>
      <c r="AB76" s="486"/>
      <c r="AC76" s="486"/>
      <c r="AD76" s="486"/>
      <c r="AE76" s="486"/>
      <c r="AF76" s="486"/>
      <c r="AG76" s="486"/>
      <c r="AH76" s="486"/>
      <c r="AI76" s="486"/>
      <c r="AJ76" s="486"/>
      <c r="AK76" s="486"/>
      <c r="AL76" s="486"/>
      <c r="AM76" s="486"/>
      <c r="AN76" s="486"/>
      <c r="AO76" s="486"/>
      <c r="AP76" s="486"/>
      <c r="AQ76" s="486"/>
    </row>
    <row r="77" spans="1:43" hidden="1" x14ac:dyDescent="0.25">
      <c r="A77" s="948" t="s">
        <v>276</v>
      </c>
      <c r="B77" s="949"/>
      <c r="C77" s="672" t="str">
        <f>IF(COUNTBLANK($C$14:$C$21)=8,"NA",IF($C$48=2,(IF($C$49=1,(IF(COUNTBLANK($C$14:$D$21)=16,"NA",1440*EXP(-0.001*$C$72)*$C$57*$C$58)),IF(COUNTBLANK($C$14:$D$21)=16,"NA",1640*EXP(-0.001*$C$72)*$C$57*$C$58))),(IF($C$49=1,(IF(COUNTBLANK($C$14:$D$21)=16,"NA",1440*EXP(-0.001*$C$72)*$C$57*$C$58)),(IF(COUNTBLANK($C$14:$D$21)=16,"NA",1640*EXP(-0.0009*$C$72)*$C$57*$C$58))))))</f>
        <v>NA</v>
      </c>
      <c r="D77" s="673" t="str">
        <f>IF(COUNTBLANK($D$14:$D$21)=8,"NA",IF($C$48=2,(IF($C$49=1,(IF(COUNTBLANK($C$14:$D$21)=16,"NA",1440*EXP(-0.001*$C$72)*$C$57*$C$58)),IF(COUNTBLANK($C$14:$D$21)=16,"NA",1640*EXP(-0.0009*$C$72)*$C$57*$C$58))),(IF($C$49=1,(IF(COUNTBLANK($C$14:$D$21)=16,"NA",1440*EXP(-0.001*$C$72)*$C$57*$C$58)),(IF(COUNTBLANK($C$14:$D$21)=16,"NA",1640*EXP(-0.0009*$C$72)*$C$57*$C$58))))))</f>
        <v>NA</v>
      </c>
      <c r="E77" s="584" t="str">
        <f>IF(COUNTBLANK($G$14:$G$21)=8,"NA",IF($E$48=2,(IF($E$49=1,(IF(COUNTBLANK($G$14:$H$21)=16,"NA",1440*EXP(-0.001*$E$72)*$E$57*$E$58)),IF(COUNTBLANK($G$14:$H$21)=16,"NA",1640*EXP(-0.001*$E$72)*$E$57*$E$58))),(IF($E$49=1,(IF(COUNTBLANK($G$14:$H$21)=16,"NA",1440*EXP(-0.001*$E$72)*$E$57*$E$58)),(IF(COUNTBLANK($G$14:$H$21)=16,"NA",1640*EXP(-0.0009*$E$72)*$E$57*$E$58))))))</f>
        <v>NA</v>
      </c>
      <c r="F77" s="584" t="str">
        <f>IF(COUNTBLANK($H$14:$H$21)=8,"NA",IF($E$48=2,(IF($E$49=1,(IF(COUNTBLANK($G$14:$H$21)=16,"NA",1440*EXP(-0.001*$E$72)*$E$57*$E$58)),IF(COUNTBLANK($G$14:$H$21)=16,"NA",1640*EXP(-0.0009*$E$72)*$E$57*$E$58))),(IF($E$49=1,(IF(COUNTBLANK($G$14:$H$21)=16,"NA",1440*EXP(-0.001*$E$72)*$E$57*$E$58)),(IF(COUNTBLANK($G$14:$H$21)=16,"NA",1640*EXP(-0.0009*$E$72)*$E$57*$E$58))))))</f>
        <v>NA</v>
      </c>
      <c r="G77" s="673" t="str">
        <f>IF(COUNTBLANK($C$25:$C$32)=8,"NA",IF($G$48=2,(IF($G$49=1,(IF(COUNTBLANK($C$25:$D$32)=16,"NA",1440*EXP(-0.001*$G$72)*$G$57*$G$58)),IF(COUNTBLANK($C$25:$D$32)=16,"NA",1640*EXP(-0.001*$G$72)*$G$57*$G$58))),(IF($G$49=1,(IF(COUNTBLANK($C$25:$D$32)=16,"NA",1440*EXP(-0.001*$G$72)*$G$57*$G$58)),(IF(COUNTBLANK($C$25:$D$32)=16,"NA",1640*EXP(-0.0009*$G$72)*$G$57*$G$58))))))</f>
        <v>NA</v>
      </c>
      <c r="H77" s="673" t="str">
        <f>IF(COUNTBLANK($D$25:$D$32)=8,"NA",IF($G$48=2,(IF($G$49=1,(IF(COUNTBLANK($C$25:$D$32)=16,"NA",1440*EXP(-0.001*$G$72)*$G$57*$G$58)),IF(COUNTBLANK($C$25:$D$32)=16,"NA",1640*EXP(-0.0009*$G$72)*$G$57*$G$58))),(IF($G$49=1,(IF(COUNTBLANK($C$25:$D$32)=16,"NA",1440*EXP(-0.001*$G$72)*$G$57*$G$58)),(IF(COUNTBLANK($C$25:$D$32)=16,"NA",1640*EXP(-0.0009*$G$72)*$G$57*$G$58))))))</f>
        <v>NA</v>
      </c>
      <c r="I77" s="584" t="str">
        <f>IF(COUNTBLANK($G$25:$G$32)=8,"NA",IF($I$48=2,(IF($I$49=1,(IF(COUNTBLANK($G$25:$H$32)=16,"NA",1440*EXP(-0.001*$I$72)*$I$57*$I$58)),IF(COUNTBLANK($G$25:$H$32)=16,"NA",1640*EXP(-0.001*$I$72)*$I$57*$I$58))),(IF($I$49=1,(IF(COUNTBLANK($G$25:$H$32)=16,"NA",1440*EXP(-0.001*$I$72)*$I$57*$I$58)),(IF(COUNTBLANK($G$25:$H$32)=16,"NA",1640*EXP(-0.0009*$I$72)*$I$57*$I$58))))))</f>
        <v>NA</v>
      </c>
      <c r="J77" s="585" t="str">
        <f>IF(COUNTBLANK($H$25:$H$32)=8,"NA",IF($I$48=2,(IF($I$49=1,(IF(COUNTBLANK($G$25:$H$32)=16,"NA",1440*EXP(-0.001*$I$72)*$I$57*$I$58)),IF(COUNTBLANK($G$25:$H$32)=16,"NA",1640*EXP(-0.0009*$I$72)*$I$57*$I$58))),(IF($I$49=1,(IF(COUNTBLANK($G$25:$H$32)=16,"NA",1440*EXP(-0.001*$I$72)*$I$57*$I$58)),(IF(COUNTBLANK($G$25:$H$32)=16,"NA",1640*EXP(-0.0009*$I$72)*$I$57*$I$58))))))</f>
        <v>NA</v>
      </c>
      <c r="T77" s="467" t="s">
        <v>89</v>
      </c>
      <c r="U77" s="447"/>
      <c r="V77" s="447">
        <f>1-(0.00347*(V66-30))-(0.978*((1/V65)-0.05))</f>
        <v>1</v>
      </c>
      <c r="W77" s="447">
        <f>1-(0.00347*(W66-30))-(0.978*((1/W65)-0.05))</f>
        <v>1</v>
      </c>
      <c r="X77" s="447"/>
    </row>
    <row r="78" spans="1:43" ht="15.75" hidden="1" thickBot="1" x14ac:dyDescent="0.3">
      <c r="A78" s="948" t="s">
        <v>272</v>
      </c>
      <c r="B78" s="949"/>
      <c r="C78" s="674" t="str">
        <f>IF(C77="NA","NA",C$70*C$57)</f>
        <v>NA</v>
      </c>
      <c r="D78" s="674" t="str">
        <f>IF(D77="NA","NA",$C$71*$C$57)</f>
        <v>NA</v>
      </c>
      <c r="E78" s="613" t="str">
        <f>IF(E77="NA","NA",$E$70*$E$57)</f>
        <v>NA</v>
      </c>
      <c r="F78" s="613" t="str">
        <f>IF(F77="NA","NA",$E$71*$E$57)</f>
        <v>NA</v>
      </c>
      <c r="G78" s="674" t="str">
        <f>IF(G77="NA","NA",$G$70*$G$57)</f>
        <v>NA</v>
      </c>
      <c r="H78" s="674" t="str">
        <f>IF(H77="NA","NA",$G$71*$G$57)</f>
        <v>NA</v>
      </c>
      <c r="I78" s="613" t="str">
        <f>IF(I77="NA","NA",$I$70*$I$57)</f>
        <v>NA</v>
      </c>
      <c r="J78" s="634" t="str">
        <f>IF(J77="NA","NA",$I$71*$I$57)</f>
        <v>NA</v>
      </c>
      <c r="K78" s="593"/>
      <c r="S78" s="396"/>
      <c r="T78" s="396"/>
      <c r="U78" s="396"/>
      <c r="V78" s="396"/>
      <c r="W78" s="396"/>
      <c r="X78" s="396"/>
      <c r="Y78" s="396"/>
      <c r="Z78" s="396"/>
      <c r="AA78" s="398"/>
    </row>
    <row r="79" spans="1:43" ht="15.75" hidden="1" thickTop="1" x14ac:dyDescent="0.25">
      <c r="A79" s="939" t="s">
        <v>203</v>
      </c>
      <c r="B79" s="940"/>
      <c r="C79" s="675" t="e">
        <f>C78/C77</f>
        <v>#VALUE!</v>
      </c>
      <c r="D79" s="675" t="e">
        <f t="shared" ref="D79:J79" si="30">D78/D77</f>
        <v>#VALUE!</v>
      </c>
      <c r="E79" s="612" t="e">
        <f t="shared" si="30"/>
        <v>#VALUE!</v>
      </c>
      <c r="F79" s="612" t="e">
        <f t="shared" si="30"/>
        <v>#VALUE!</v>
      </c>
      <c r="G79" s="675" t="e">
        <f t="shared" si="30"/>
        <v>#VALUE!</v>
      </c>
      <c r="H79" s="675" t="e">
        <f t="shared" si="30"/>
        <v>#VALUE!</v>
      </c>
      <c r="I79" s="612" t="e">
        <f t="shared" si="30"/>
        <v>#VALUE!</v>
      </c>
      <c r="J79" s="635" t="e">
        <f t="shared" si="30"/>
        <v>#VALUE!</v>
      </c>
      <c r="K79" s="593"/>
      <c r="S79" s="396"/>
      <c r="T79" s="396"/>
      <c r="U79" s="396"/>
      <c r="V79" s="396"/>
      <c r="W79" s="396"/>
      <c r="X79" s="396"/>
      <c r="Y79" s="396"/>
      <c r="Z79" s="396"/>
      <c r="AA79" s="397"/>
    </row>
    <row r="80" spans="1:43" hidden="1" x14ac:dyDescent="0.25">
      <c r="A80" s="939" t="s">
        <v>311</v>
      </c>
      <c r="B80" s="940"/>
      <c r="C80" s="676" t="e">
        <f t="shared" ref="C80:J80" si="31">3600/C77+900*0.25*(C79-1+SQRT((C79-1)^2+((3600/C77)*C79)/(450*0.25)))+(5*(MIN(C79,1)))</f>
        <v>#VALUE!</v>
      </c>
      <c r="D80" s="676" t="e">
        <f t="shared" si="31"/>
        <v>#VALUE!</v>
      </c>
      <c r="E80" s="620" t="e">
        <f t="shared" si="31"/>
        <v>#VALUE!</v>
      </c>
      <c r="F80" s="620" t="e">
        <f t="shared" si="31"/>
        <v>#VALUE!</v>
      </c>
      <c r="G80" s="676" t="e">
        <f t="shared" si="31"/>
        <v>#VALUE!</v>
      </c>
      <c r="H80" s="676" t="e">
        <f t="shared" si="31"/>
        <v>#VALUE!</v>
      </c>
      <c r="I80" s="620" t="e">
        <f t="shared" si="31"/>
        <v>#VALUE!</v>
      </c>
      <c r="J80" s="643" t="e">
        <f t="shared" si="31"/>
        <v>#VALUE!</v>
      </c>
      <c r="S80" s="396"/>
      <c r="T80" s="396"/>
      <c r="U80" s="396"/>
      <c r="V80" s="396"/>
      <c r="W80" s="396"/>
      <c r="X80" s="396"/>
      <c r="Y80" s="396"/>
      <c r="Z80" s="396"/>
      <c r="AA80" s="397"/>
    </row>
    <row r="81" spans="1:43" hidden="1" x14ac:dyDescent="0.25">
      <c r="A81" s="948" t="s">
        <v>85</v>
      </c>
      <c r="B81" s="949"/>
      <c r="C81" s="594" t="e">
        <f t="shared" ref="C81:J81" si="32">VLOOKUP(C80,$Y59:$Z64,2,TRUE)</f>
        <v>#VALUE!</v>
      </c>
      <c r="D81" s="594" t="e">
        <f t="shared" si="32"/>
        <v>#VALUE!</v>
      </c>
      <c r="E81" s="588" t="e">
        <f t="shared" si="32"/>
        <v>#VALUE!</v>
      </c>
      <c r="F81" s="588" t="e">
        <f t="shared" si="32"/>
        <v>#VALUE!</v>
      </c>
      <c r="G81" s="594" t="e">
        <f t="shared" si="32"/>
        <v>#VALUE!</v>
      </c>
      <c r="H81" s="594" t="e">
        <f t="shared" si="32"/>
        <v>#VALUE!</v>
      </c>
      <c r="I81" s="588" t="e">
        <f t="shared" si="32"/>
        <v>#VALUE!</v>
      </c>
      <c r="J81" s="589" t="e">
        <f t="shared" si="32"/>
        <v>#VALUE!</v>
      </c>
      <c r="S81" s="396"/>
      <c r="T81" s="396"/>
      <c r="U81" s="396"/>
      <c r="V81" s="396"/>
      <c r="W81" s="396"/>
      <c r="X81" s="396"/>
      <c r="Y81" s="396"/>
      <c r="Z81" s="396"/>
      <c r="AA81" s="397"/>
    </row>
    <row r="82" spans="1:43" hidden="1" x14ac:dyDescent="0.25">
      <c r="A82" s="797"/>
      <c r="B82" s="583" t="s">
        <v>180</v>
      </c>
      <c r="C82" s="594" t="e">
        <f t="shared" ref="C82:J82" si="33">VLOOKUP(C80,$Y66:$Z74,2,TRUE)</f>
        <v>#VALUE!</v>
      </c>
      <c r="D82" s="594" t="e">
        <f t="shared" si="33"/>
        <v>#VALUE!</v>
      </c>
      <c r="E82" s="588" t="e">
        <f t="shared" si="33"/>
        <v>#VALUE!</v>
      </c>
      <c r="F82" s="588" t="e">
        <f t="shared" si="33"/>
        <v>#VALUE!</v>
      </c>
      <c r="G82" s="594" t="e">
        <f t="shared" si="33"/>
        <v>#VALUE!</v>
      </c>
      <c r="H82" s="594" t="e">
        <f t="shared" si="33"/>
        <v>#VALUE!</v>
      </c>
      <c r="I82" s="588" t="e">
        <f t="shared" si="33"/>
        <v>#VALUE!</v>
      </c>
      <c r="J82" s="589" t="e">
        <f t="shared" si="33"/>
        <v>#VALUE!</v>
      </c>
      <c r="K82" s="593"/>
      <c r="S82" s="396"/>
      <c r="T82" s="396"/>
      <c r="U82" s="396"/>
      <c r="V82" s="396"/>
      <c r="W82" s="396"/>
      <c r="X82" s="396"/>
      <c r="Y82" s="396"/>
      <c r="Z82" s="396"/>
      <c r="AA82" s="397"/>
    </row>
    <row r="83" spans="1:43" hidden="1" x14ac:dyDescent="0.25">
      <c r="A83" s="797"/>
      <c r="B83" s="662" t="s">
        <v>133</v>
      </c>
      <c r="C83" s="677" t="e">
        <f t="shared" ref="C83:J83" si="34">225*(C$79-1+SQRT((1-C$79)^2+((3600/C$77)*C$79/37.5)))*(C$77/3600)</f>
        <v>#VALUE!</v>
      </c>
      <c r="D83" s="677" t="e">
        <f t="shared" si="34"/>
        <v>#VALUE!</v>
      </c>
      <c r="E83" s="586" t="e">
        <f t="shared" si="34"/>
        <v>#VALUE!</v>
      </c>
      <c r="F83" s="586" t="e">
        <f t="shared" si="34"/>
        <v>#VALUE!</v>
      </c>
      <c r="G83" s="677" t="e">
        <f t="shared" si="34"/>
        <v>#VALUE!</v>
      </c>
      <c r="H83" s="677" t="e">
        <f t="shared" si="34"/>
        <v>#VALUE!</v>
      </c>
      <c r="I83" s="586" t="e">
        <f t="shared" si="34"/>
        <v>#VALUE!</v>
      </c>
      <c r="J83" s="587" t="e">
        <f t="shared" si="34"/>
        <v>#VALUE!</v>
      </c>
      <c r="K83" s="593"/>
      <c r="S83" s="396"/>
      <c r="T83" s="396"/>
      <c r="U83" s="396"/>
      <c r="V83" s="396"/>
      <c r="W83" s="396"/>
      <c r="X83" s="396"/>
      <c r="Y83" s="396"/>
      <c r="Z83" s="396"/>
      <c r="AA83" s="397"/>
    </row>
    <row r="84" spans="1:43" hidden="1" x14ac:dyDescent="0.25">
      <c r="A84" s="939" t="s">
        <v>138</v>
      </c>
      <c r="B84" s="940"/>
      <c r="C84" s="683" t="e">
        <f>(C83*($Q$59/C$57))</f>
        <v>#VALUE!</v>
      </c>
      <c r="D84" s="683" t="e">
        <f>(D83*($Q$59/C$57))</f>
        <v>#VALUE!</v>
      </c>
      <c r="E84" s="606" t="e">
        <f t="shared" ref="E84:G84" si="35">(E83*($Q$59/E$57))</f>
        <v>#VALUE!</v>
      </c>
      <c r="F84" s="606" t="e">
        <f>(F83*($Q$59/E$57))</f>
        <v>#VALUE!</v>
      </c>
      <c r="G84" s="683" t="e">
        <f t="shared" si="35"/>
        <v>#VALUE!</v>
      </c>
      <c r="H84" s="683" t="e">
        <f>(H83*($Q$59/G$57))</f>
        <v>#VALUE!</v>
      </c>
      <c r="I84" s="606" t="e">
        <f>(I83*($Q$59/I$57))</f>
        <v>#VALUE!</v>
      </c>
      <c r="J84" s="616" t="e">
        <f>(J83*($Q$59/I$57))</f>
        <v>#VALUE!</v>
      </c>
      <c r="K84" s="386"/>
      <c r="S84" s="396"/>
      <c r="T84" s="396"/>
      <c r="U84" s="396"/>
      <c r="V84" s="396"/>
      <c r="W84" s="396"/>
      <c r="X84" s="396"/>
      <c r="Y84" s="396"/>
      <c r="Z84" s="396"/>
      <c r="AA84" s="397"/>
    </row>
    <row r="85" spans="1:43" hidden="1" x14ac:dyDescent="0.25">
      <c r="A85" s="797"/>
      <c r="B85" s="693" t="s">
        <v>314</v>
      </c>
      <c r="C85" s="694">
        <f>IFERROR(HLOOKUP("N (1)",$E$157:$J$186,26,FALSE),0)</f>
        <v>0</v>
      </c>
      <c r="D85" s="695"/>
      <c r="E85" s="694">
        <f>IFERROR(HLOOKUP("E (3)",$E$157:$J$186,26,FALSE),0)</f>
        <v>0</v>
      </c>
      <c r="F85" s="696"/>
      <c r="G85" s="694">
        <f>IFERROR(HLOOKUP("S (5)",$E$157:$J$186,26,FALSE),0)</f>
        <v>0</v>
      </c>
      <c r="H85" s="695"/>
      <c r="I85" s="694">
        <f>IFERROR(HLOOKUP("W (7)",$E$157:$J$186,26,FALSE),0)</f>
        <v>0</v>
      </c>
      <c r="J85" s="697"/>
      <c r="K85" s="386"/>
      <c r="S85" s="396"/>
      <c r="T85" s="396"/>
      <c r="U85" s="396"/>
      <c r="V85" s="396"/>
      <c r="W85" s="396"/>
      <c r="X85" s="396"/>
      <c r="Y85" s="396"/>
      <c r="Z85" s="396"/>
      <c r="AA85" s="397"/>
    </row>
    <row r="86" spans="1:43" hidden="1" x14ac:dyDescent="0.25">
      <c r="A86" s="797"/>
      <c r="B86" s="693" t="s">
        <v>315</v>
      </c>
      <c r="C86" s="698">
        <f>IFERROR(HLOOKUP("N (1)",$E$157:$J$186,24,FALSE),0)</f>
        <v>0</v>
      </c>
      <c r="D86" s="695"/>
      <c r="E86" s="698">
        <f>IFERROR(HLOOKUP("E (3)",$E$157:$J$186,24,FALSE),0)</f>
        <v>0</v>
      </c>
      <c r="F86" s="696"/>
      <c r="G86" s="694">
        <f>IFERROR(HLOOKUP("S (5)",$E$157:$J$186,24,FALSE),0)</f>
        <v>0</v>
      </c>
      <c r="H86" s="695"/>
      <c r="I86" s="694">
        <f>IFERROR(HLOOKUP("W (7)",$E$157:$J$186,24,FALSE),0)</f>
        <v>0</v>
      </c>
      <c r="J86" s="697"/>
      <c r="K86" s="386"/>
      <c r="S86" s="396"/>
      <c r="T86" s="396"/>
      <c r="U86" s="396"/>
      <c r="V86" s="396"/>
      <c r="W86" s="396"/>
      <c r="X86" s="396"/>
      <c r="Y86" s="396"/>
      <c r="Z86" s="396"/>
      <c r="AA86" s="397"/>
    </row>
    <row r="87" spans="1:43" ht="13.5" hidden="1" customHeight="1" x14ac:dyDescent="0.25">
      <c r="A87" s="973" t="s">
        <v>309</v>
      </c>
      <c r="B87" s="974"/>
      <c r="C87" s="1016" t="str">
        <f>IF(C78="NA",IF(D78="NA"," ",((D80*D78)+(C85*C86))/(D78+C86)),IF(D78="NA",((C80*C78)+(C85*C86))/(C78+C86),(((C80*C78)+(D80*D78)+(C85*C86)))/(C78+D78+C86)))</f>
        <v xml:space="preserve"> </v>
      </c>
      <c r="D87" s="1017"/>
      <c r="E87" s="1018" t="str">
        <f>IF(E78="NA",IF(F78="NA"," ",((F80*F78)+(E85*E86))/(F78+E86)),IF(F78="NA",((E80*E78)+(E85*E86))/(E78+E86),(((E80*E78)+(F80*F78)+(E85*E86)))/(E78+F78+E86)))</f>
        <v xml:space="preserve"> </v>
      </c>
      <c r="F87" s="1019"/>
      <c r="G87" s="1016" t="str">
        <f>IF(G78="NA",IF(H78="NA"," ",((H80*H78)+(G85*G86))/(H78+G86)),IF(H78="NA",((G80*G78)+(G85*G86))/(G78+G86),(((G80*G78)+(H80*H78)+(G85*G86)))/(G78+H78+G86)))</f>
        <v xml:space="preserve"> </v>
      </c>
      <c r="H87" s="1017"/>
      <c r="I87" s="1018" t="str">
        <f>IF(I78="NA",IF(J78="NA"," ",((J80*J78)+(I85*I86))/(J78+I86)),IF(J78="NA",((I80*I78)+(I85*I86))/(I78+I86),(((I80*I78)+(J80*J78)+(I85*I86)))/(I78+J78+I86)))</f>
        <v xml:space="preserve"> </v>
      </c>
      <c r="J87" s="1029"/>
      <c r="K87" s="386"/>
      <c r="S87" s="396"/>
      <c r="T87" s="396"/>
      <c r="U87" s="396"/>
      <c r="V87" s="396"/>
      <c r="W87" s="396"/>
      <c r="X87" s="396"/>
      <c r="Y87" s="396"/>
      <c r="Z87" s="396"/>
      <c r="AA87" s="397"/>
    </row>
    <row r="88" spans="1:43" s="574" customFormat="1" ht="13.5" hidden="1" customHeight="1" x14ac:dyDescent="0.25">
      <c r="A88" s="799"/>
      <c r="B88" s="800"/>
      <c r="C88" s="801" t="e">
        <f>ROUND(C87,1)</f>
        <v>#VALUE!</v>
      </c>
      <c r="D88" s="802"/>
      <c r="E88" s="801" t="e">
        <f>ROUND(E87,1)</f>
        <v>#VALUE!</v>
      </c>
      <c r="F88" s="573"/>
      <c r="G88" s="801" t="e">
        <f>ROUND(G87,1)</f>
        <v>#VALUE!</v>
      </c>
      <c r="H88" s="720"/>
      <c r="I88" s="801" t="e">
        <f>ROUND(I87,1)</f>
        <v>#VALUE!</v>
      </c>
      <c r="J88" s="804"/>
      <c r="K88" s="593"/>
      <c r="L88" s="591"/>
      <c r="M88" s="591"/>
      <c r="N88" s="591"/>
      <c r="O88" s="591"/>
      <c r="P88" s="591"/>
      <c r="Q88" s="591"/>
      <c r="R88" s="591"/>
      <c r="S88" s="595"/>
      <c r="T88" s="595"/>
      <c r="U88" s="595"/>
      <c r="V88" s="595"/>
      <c r="W88" s="595"/>
      <c r="X88" s="595"/>
      <c r="Y88" s="595"/>
      <c r="Z88" s="595"/>
      <c r="AA88" s="596"/>
      <c r="AB88" s="591"/>
      <c r="AC88" s="591"/>
      <c r="AD88" s="591"/>
      <c r="AE88" s="591"/>
      <c r="AF88" s="591"/>
      <c r="AG88" s="591"/>
      <c r="AH88" s="591"/>
      <c r="AI88" s="591"/>
      <c r="AJ88" s="591"/>
      <c r="AK88" s="591"/>
      <c r="AL88" s="591"/>
      <c r="AM88" s="591"/>
      <c r="AN88" s="591"/>
      <c r="AO88" s="591"/>
      <c r="AP88" s="591"/>
      <c r="AQ88" s="591"/>
    </row>
    <row r="89" spans="1:43" ht="13.5" hidden="1" customHeight="1" x14ac:dyDescent="0.25">
      <c r="A89" s="973" t="s">
        <v>310</v>
      </c>
      <c r="B89" s="974"/>
      <c r="C89" s="989" t="e">
        <f>VLOOKUP(C87,$Y59:$Z64,2,TRUE)</f>
        <v>#N/A</v>
      </c>
      <c r="D89" s="990"/>
      <c r="E89" s="1030" t="e">
        <f>VLOOKUP(E87,$Y59:$Z64,2,TRUE)</f>
        <v>#N/A</v>
      </c>
      <c r="F89" s="1031"/>
      <c r="G89" s="1032" t="e">
        <f>VLOOKUP(G87,$Y59:$Z64,2,TRUE)</f>
        <v>#N/A</v>
      </c>
      <c r="H89" s="1033"/>
      <c r="I89" s="1034" t="e">
        <f>VLOOKUP(I87,$Y59:$Z64,2,TRUE)</f>
        <v>#N/A</v>
      </c>
      <c r="J89" s="1035"/>
      <c r="K89" s="386"/>
      <c r="S89" s="396"/>
      <c r="T89" s="396"/>
      <c r="U89" s="396"/>
      <c r="V89" s="396"/>
      <c r="W89" s="396"/>
      <c r="X89" s="396"/>
      <c r="Y89" s="396"/>
      <c r="Z89" s="396"/>
      <c r="AA89" s="397"/>
    </row>
    <row r="90" spans="1:43" ht="13.5" hidden="1" customHeight="1" x14ac:dyDescent="0.25">
      <c r="A90" s="973" t="s">
        <v>331</v>
      </c>
      <c r="B90" s="974"/>
      <c r="C90" s="989" t="e">
        <f>C88&amp;" sec, LOS "&amp;C89</f>
        <v>#VALUE!</v>
      </c>
      <c r="D90" s="990"/>
      <c r="E90" s="991" t="e">
        <f t="shared" ref="E90" si="36">E88&amp;" sec, LOS "&amp;E89</f>
        <v>#VALUE!</v>
      </c>
      <c r="F90" s="992"/>
      <c r="G90" s="989" t="e">
        <f t="shared" ref="G90" si="37">G88&amp;" sec, LOS "&amp;G89</f>
        <v>#VALUE!</v>
      </c>
      <c r="H90" s="990"/>
      <c r="I90" s="991" t="e">
        <f t="shared" ref="I90" si="38">I88&amp;" sec, LOS "&amp;I89</f>
        <v>#VALUE!</v>
      </c>
      <c r="J90" s="993"/>
      <c r="K90" s="386"/>
      <c r="S90" s="396"/>
      <c r="T90" s="396"/>
      <c r="U90" s="396"/>
      <c r="V90" s="396"/>
      <c r="W90" s="396"/>
      <c r="X90" s="396"/>
      <c r="Y90" s="396"/>
      <c r="Z90" s="396"/>
      <c r="AA90" s="397"/>
    </row>
    <row r="91" spans="1:43" hidden="1" x14ac:dyDescent="0.25">
      <c r="A91" s="642"/>
      <c r="B91" s="549"/>
      <c r="C91" s="1040" t="s">
        <v>29</v>
      </c>
      <c r="D91" s="972"/>
      <c r="E91" s="971" t="s">
        <v>31</v>
      </c>
      <c r="F91" s="972"/>
      <c r="G91" s="971" t="s">
        <v>33</v>
      </c>
      <c r="H91" s="972"/>
      <c r="I91" s="971" t="s">
        <v>35</v>
      </c>
      <c r="J91" s="1015"/>
      <c r="K91" s="386"/>
      <c r="S91" s="396"/>
      <c r="T91" s="396"/>
      <c r="U91" s="396"/>
      <c r="V91" s="396"/>
      <c r="W91" s="396"/>
      <c r="X91" s="396"/>
      <c r="Y91" s="396"/>
      <c r="Z91" s="396"/>
      <c r="AA91" s="397"/>
    </row>
    <row r="92" spans="1:43" s="491" customFormat="1" ht="12" hidden="1" x14ac:dyDescent="0.2">
      <c r="A92" s="568"/>
      <c r="B92" s="692" t="s">
        <v>312</v>
      </c>
      <c r="C92" s="689" t="str">
        <f>IF(E$13="select","Lane 1",E$13)</f>
        <v>Lane 1</v>
      </c>
      <c r="D92" s="687" t="str">
        <f>IF(F$13="select","Lane 2",F$13)</f>
        <v>Lane 2</v>
      </c>
      <c r="E92" s="688" t="str">
        <f>IF(I$13="select","Lane 1",I$13)</f>
        <v>Lane 1</v>
      </c>
      <c r="F92" s="685" t="str">
        <f>IF(J$13="select","Lane 2",J$13)</f>
        <v>Lane 2</v>
      </c>
      <c r="G92" s="686" t="str">
        <f>IF(E$24="select","Lane 1",E$24)</f>
        <v>Lane 1</v>
      </c>
      <c r="H92" s="687" t="str">
        <f>IF(F$24="select","Lane 2",F$24)</f>
        <v>Lane 2</v>
      </c>
      <c r="I92" s="688" t="str">
        <f>IF(I$24="select","Lane 1",I$24)</f>
        <v>Lane 1</v>
      </c>
      <c r="J92" s="690" t="str">
        <f>IF(J$24="select","Lane 2",J$24)</f>
        <v>Lane 2</v>
      </c>
      <c r="K92" s="487"/>
      <c r="L92" s="486"/>
      <c r="M92" s="486"/>
      <c r="N92" s="486"/>
      <c r="O92" s="486"/>
      <c r="P92" s="486"/>
      <c r="Q92" s="486"/>
      <c r="R92" s="486"/>
      <c r="S92" s="492"/>
      <c r="T92" s="492"/>
      <c r="U92" s="492"/>
      <c r="V92" s="492"/>
      <c r="W92" s="492"/>
      <c r="X92" s="492"/>
      <c r="Y92" s="492"/>
      <c r="Z92" s="492"/>
      <c r="AA92" s="493"/>
      <c r="AB92" s="486"/>
      <c r="AC92" s="486"/>
      <c r="AD92" s="486"/>
      <c r="AE92" s="486"/>
      <c r="AF92" s="486"/>
      <c r="AG92" s="486"/>
      <c r="AH92" s="486"/>
      <c r="AI92" s="486"/>
      <c r="AJ92" s="486"/>
      <c r="AK92" s="486"/>
      <c r="AL92" s="486"/>
      <c r="AM92" s="486"/>
      <c r="AN92" s="486"/>
      <c r="AO92" s="486"/>
      <c r="AP92" s="486"/>
      <c r="AQ92" s="486"/>
    </row>
    <row r="93" spans="1:43" hidden="1" x14ac:dyDescent="0.25">
      <c r="A93" s="948" t="s">
        <v>276</v>
      </c>
      <c r="B93" s="949"/>
      <c r="C93" s="703" t="str">
        <f>IF(COUNTBLANK($E$14:$E$21)=8,"NA",IF($D$48=2,(IF($D$49=1,(IF(COUNTBLANK($E$14:$F$21)=16,"NA",1440*EXP(-0.001*$D$72)*$D$57*$D$58)),IF(COUNTBLANK($E$14:$F$21)=16,"NA",1640*EXP(-0.001*$D$72)*$D$57*$D$58))),(IF($D$49=1,(IF(COUNTBLANK($E$14:$F$21)=16,"NA",1440*EXP(-0.001*$D$72)*$D$57*$D$58)),(IF(COUNTBLANK($E$14:$F$21)=16,"NA",1640*EXP(-0.0009*$D$72)*$D$57*$D$58))))))</f>
        <v>NA</v>
      </c>
      <c r="D93" s="703" t="str">
        <f>IF(COUNTBLANK($F$14:$F$21)=8,"NA",IF($D$48=2,(IF($D$49=1,(IF(COUNTBLANK($E$14:$F$21)=16,"NA",1440*EXP(-0.001*$D$72)*$D$57*$D$58)),IF(COUNTBLANK($E$14:$F$21)=16,"NA",1640*EXP(-0.0009*$D$72)*$D$57*$D$58))),(IF($D$49=1,(IF(COUNTBLANK($E$14:$F$21)=16,"NA",1440*EXP(-0.001*$D$72)*$D$57*$D$58)),(IF(COUNTBLANK($E$14:$F$21)=16,"NA",1640*EXP(-0.0009*$D$72)*$D$57*$D$58))))))</f>
        <v>NA</v>
      </c>
      <c r="E93" s="673" t="str">
        <f>IF(COUNTBLANK($I$14:$I$21)=8,"NA",IF($F$48=2,(IF($F$49=1,(IF(COUNTBLANK($I$14:$J$21)=16,"NA",1440*EXP(-0.001*$F$72)*$F$57*$F$58)),IF(COUNTBLANK($I$14:$J$21)=16,"NA",1640*EXP(-0.001*$F$72)*$F$57*$F$58))),(IF($F$49=1,(IF(COUNTBLANK($I$14:$J$21)=16,"NA",1440*EXP(-0.001*$F$72)*$F$57*$F$58)),(IF(COUNTBLANK($I$14:$J$21)=16,"NA",1640*EXP(-0.0009*$F$72)*$F$57*$F$58))))))</f>
        <v>NA</v>
      </c>
      <c r="F93" s="673" t="str">
        <f>IF(COUNTBLANK($J$14:$J$21)=8,"NA",IF($F$48=2,(IF($F$49=1,(IF(COUNTBLANK($I$14:$J$21)=16,"NA",1440*EXP(-0.001*$F$72)*$F$57*$F$58)),IF(COUNTBLANK($I$14:$J$21)=16,"NA",1640*EXP(-0.0009*$F$72)*$F$57*$F$58))),(IF($F$49=1,(IF(COUNTBLANK($I$14:$J$21)=16,"NA",1440*EXP(-0.001*$F$72)*$F$57*$F$58)),(IF(COUNTBLANK($I$14:$J$21)=16,"NA",1640*EXP(-0.0009*$F$72)*$F$57*$F$58))))))</f>
        <v>NA</v>
      </c>
      <c r="G93" s="703" t="str">
        <f>IF(COUNTBLANK($E$25:$E$32)=8,"NA",IF($H$48=2,(IF($H$49=1,(IF(COUNTBLANK($E$25:$F$32)=16,"NA",1440*EXP(-0.001*$H$72)*$H$57*$H$58)),IF(COUNTBLANK($E$25:$F$32)=16,"NA",1640*EXP(-0.001*$H$72)*$H$57*$H$58))),(IF($H$49=1,(IF(COUNTBLANK($E$25:$F$32)=16,"NA",1440*EXP(-0.001*$H$72)*$H$57*$H$58)),(IF(COUNTBLANK($E$25:$F$32)=16,"NA",1640*EXP(-0.0009*$H$72)*$H$57*$H$58))))))</f>
        <v>NA</v>
      </c>
      <c r="H93" s="703" t="str">
        <f>IF(COUNTBLANK($F$25:$F$32)=8,"NA",IF($H$48=2,(IF($H$49=1,(IF(COUNTBLANK($E$25:$F$32)=16,"NA",1440*EXP(-0.001*$H$72)*$H$57*$H$58)),IF(COUNTBLANK($E$25:$F$32)=16,"NA",1640*EXP(-0.0009*$H$72)*$H$57*$H$58))),(IF($H$49=1,(IF(COUNTBLANK($E$25:$F$32)=16,"NA",1440*EXP(-0.001*$H$72)*$H$57*$H$58)),(IF(COUNTBLANK($E$25:$F$32)=16,"NA",1640*EXP(-0.0009*$H$72)*$H$57*$H$58))))))</f>
        <v>NA</v>
      </c>
      <c r="I93" s="673" t="str">
        <f>IF(COUNTBLANK($I$25:$I$32)=8,"NA",IF($J$48=2,(IF($J$49=1,(IF(COUNTBLANK($I$25:$J$32)=16,"NA",1440*EXP(-0.001*$J$72)*$J$57*$J$58)),IF(COUNTBLANK($I$25:$J$32)=16,"NA",1640*EXP(-0.001*$J$72)*$J$57*$J$58))),(IF($J$49=1,(IF(COUNTBLANK($I$25:$J$32)=16,"NA",1440*EXP(-0.001*$J$72)*$J$57*$J$58)),(IF(COUNTBLANK($I$25:$J$32)=16,"NA",1640*EXP(-0.0009*$J$72)*$J$57*$J$58))))))</f>
        <v>NA</v>
      </c>
      <c r="J93" s="678" t="str">
        <f>IF(COUNTBLANK($J$25:$J$32)=8,"NA",IF($J$48=2,(IF($J$49=1,(IF(COUNTBLANK($I$25:$J$32)=16,"NA",1440*EXP(-0.001*$J$72)*$J$57*$J$58)),IF(COUNTBLANK($I$25:$J$32)=16,"NA",1640*EXP(-0.0009*$J$72)*$J$57*$J$58))),(IF($J$49=1,(IF(COUNTBLANK($I$25:$J$32)=16,"NA",1440*EXP(-0.001*$J$72)*$J$57*$J$58)),(IF(COUNTBLANK($I$25:$J$32)=16,"NA",1640*EXP(-0.0009*$J$72)*$J$57*$J$58))))))</f>
        <v>NA</v>
      </c>
      <c r="K93" s="386"/>
      <c r="S93" s="396"/>
      <c r="T93" s="396"/>
      <c r="U93" s="396"/>
      <c r="V93" s="396"/>
      <c r="W93" s="396"/>
      <c r="X93" s="396"/>
      <c r="Y93" s="396"/>
      <c r="Z93" s="396"/>
      <c r="AA93" s="397"/>
    </row>
    <row r="94" spans="1:43" ht="15.75" hidden="1" thickBot="1" x14ac:dyDescent="0.3">
      <c r="A94" s="948" t="s">
        <v>272</v>
      </c>
      <c r="B94" s="949"/>
      <c r="C94" s="704" t="str">
        <f>IF(C93="NA","NA",D$70*D$57)</f>
        <v>NA</v>
      </c>
      <c r="D94" s="704" t="str">
        <f>IF(D93="NA","NA",D$71*D$57)</f>
        <v>NA</v>
      </c>
      <c r="E94" s="674" t="str">
        <f>IF(E93="NA","NA",F$70*F$57)</f>
        <v>NA</v>
      </c>
      <c r="F94" s="674" t="str">
        <f>IF(F93="NA","NA",F$71*F$57)</f>
        <v>NA</v>
      </c>
      <c r="G94" s="704" t="str">
        <f>IF(G93="NA","NA",H$70*H$57)</f>
        <v>NA</v>
      </c>
      <c r="H94" s="704" t="str">
        <f>IF(H93="NA","NA",H$71*H$57)</f>
        <v>NA</v>
      </c>
      <c r="I94" s="674" t="str">
        <f>IF(I93="NA","NA",J$70*J$57)</f>
        <v>NA</v>
      </c>
      <c r="J94" s="679" t="str">
        <f>IF(J93="NA","NA",J$71*J$57)</f>
        <v>NA</v>
      </c>
      <c r="K94" s="386"/>
      <c r="S94" s="396"/>
      <c r="T94" s="396"/>
      <c r="U94" s="396"/>
      <c r="V94" s="396"/>
      <c r="W94" s="396"/>
      <c r="X94" s="396"/>
      <c r="Y94" s="396"/>
      <c r="Z94" s="396"/>
      <c r="AA94" s="397"/>
    </row>
    <row r="95" spans="1:43" ht="15.75" hidden="1" thickTop="1" x14ac:dyDescent="0.25">
      <c r="A95" s="939" t="s">
        <v>203</v>
      </c>
      <c r="B95" s="940"/>
      <c r="C95" s="705" t="e">
        <f t="shared" ref="C95:J95" si="39">C94/C93</f>
        <v>#VALUE!</v>
      </c>
      <c r="D95" s="705" t="e">
        <f t="shared" si="39"/>
        <v>#VALUE!</v>
      </c>
      <c r="E95" s="675" t="e">
        <f t="shared" si="39"/>
        <v>#VALUE!</v>
      </c>
      <c r="F95" s="675" t="e">
        <f t="shared" si="39"/>
        <v>#VALUE!</v>
      </c>
      <c r="G95" s="705" t="e">
        <f>G94/G93</f>
        <v>#VALUE!</v>
      </c>
      <c r="H95" s="705" t="e">
        <f t="shared" si="39"/>
        <v>#VALUE!</v>
      </c>
      <c r="I95" s="675" t="e">
        <f t="shared" si="39"/>
        <v>#VALUE!</v>
      </c>
      <c r="J95" s="713" t="e">
        <f t="shared" si="39"/>
        <v>#VALUE!</v>
      </c>
      <c r="K95" s="386"/>
      <c r="S95" s="396"/>
      <c r="T95" s="396"/>
      <c r="U95" s="396"/>
      <c r="V95" s="396"/>
      <c r="W95" s="396"/>
      <c r="X95" s="396"/>
      <c r="Y95" s="396"/>
      <c r="Z95" s="396"/>
      <c r="AA95" s="397"/>
    </row>
    <row r="96" spans="1:43" hidden="1" x14ac:dyDescent="0.25">
      <c r="A96" s="939" t="s">
        <v>204</v>
      </c>
      <c r="B96" s="940"/>
      <c r="C96" s="706" t="e">
        <f>3600/C93+900*0.25*(C95-1+SQRT((C95-1)^2+((3600/C93)*C95)/(450*0.25)))+(5*(MIN(C95,1)))</f>
        <v>#VALUE!</v>
      </c>
      <c r="D96" s="706" t="e">
        <f t="shared" ref="D96:J96" si="40">3600/D93+900*0.25*(D95-1+SQRT((D95-1)^2+((3600/D93)*D95)/(450*0.25)))+(5*(MIN(D95,1)))</f>
        <v>#VALUE!</v>
      </c>
      <c r="E96" s="676" t="e">
        <f t="shared" si="40"/>
        <v>#VALUE!</v>
      </c>
      <c r="F96" s="676" t="e">
        <f t="shared" si="40"/>
        <v>#VALUE!</v>
      </c>
      <c r="G96" s="706" t="e">
        <f t="shared" si="40"/>
        <v>#VALUE!</v>
      </c>
      <c r="H96" s="706" t="e">
        <f t="shared" si="40"/>
        <v>#VALUE!</v>
      </c>
      <c r="I96" s="676" t="e">
        <f t="shared" si="40"/>
        <v>#VALUE!</v>
      </c>
      <c r="J96" s="714" t="e">
        <f t="shared" si="40"/>
        <v>#VALUE!</v>
      </c>
      <c r="K96" s="386"/>
      <c r="S96" s="396"/>
      <c r="T96" s="396"/>
      <c r="U96" s="396"/>
      <c r="V96" s="396"/>
      <c r="W96" s="396"/>
      <c r="X96" s="396"/>
      <c r="Y96" s="396"/>
      <c r="Z96" s="396"/>
      <c r="AA96" s="397"/>
    </row>
    <row r="97" spans="1:44" hidden="1" x14ac:dyDescent="0.25">
      <c r="A97" s="948" t="s">
        <v>85</v>
      </c>
      <c r="B97" s="949"/>
      <c r="C97" s="707" t="e">
        <f>VLOOKUP(C96,$Y59:$Z64,2,TRUE)</f>
        <v>#VALUE!</v>
      </c>
      <c r="D97" s="707" t="e">
        <f t="shared" ref="D97:J97" si="41">VLOOKUP(D96,$Y59:$Z64,2,TRUE)</f>
        <v>#VALUE!</v>
      </c>
      <c r="E97" s="594" t="e">
        <f t="shared" si="41"/>
        <v>#VALUE!</v>
      </c>
      <c r="F97" s="594" t="e">
        <f t="shared" si="41"/>
        <v>#VALUE!</v>
      </c>
      <c r="G97" s="707" t="e">
        <f t="shared" si="41"/>
        <v>#VALUE!</v>
      </c>
      <c r="H97" s="707" t="e">
        <f t="shared" si="41"/>
        <v>#VALUE!</v>
      </c>
      <c r="I97" s="594" t="e">
        <f t="shared" si="41"/>
        <v>#VALUE!</v>
      </c>
      <c r="J97" s="680" t="e">
        <f t="shared" si="41"/>
        <v>#VALUE!</v>
      </c>
      <c r="K97" s="593"/>
      <c r="S97" s="396"/>
      <c r="T97" s="396"/>
      <c r="U97" s="396"/>
      <c r="V97" s="396"/>
      <c r="W97" s="396"/>
      <c r="X97" s="396"/>
      <c r="Y97" s="396"/>
      <c r="Z97" s="396"/>
      <c r="AA97" s="397"/>
    </row>
    <row r="98" spans="1:44" hidden="1" x14ac:dyDescent="0.25">
      <c r="A98" s="797"/>
      <c r="B98" s="583" t="s">
        <v>180</v>
      </c>
      <c r="C98" s="707" t="e">
        <f t="shared" ref="C98:J98" si="42">VLOOKUP(C96,$Y79:$Z84,2,TRUE)</f>
        <v>#VALUE!</v>
      </c>
      <c r="D98" s="707" t="e">
        <f t="shared" si="42"/>
        <v>#VALUE!</v>
      </c>
      <c r="E98" s="594" t="e">
        <f t="shared" si="42"/>
        <v>#VALUE!</v>
      </c>
      <c r="F98" s="594" t="e">
        <f t="shared" si="42"/>
        <v>#VALUE!</v>
      </c>
      <c r="G98" s="707" t="e">
        <f t="shared" si="42"/>
        <v>#VALUE!</v>
      </c>
      <c r="H98" s="707" t="e">
        <f t="shared" si="42"/>
        <v>#VALUE!</v>
      </c>
      <c r="I98" s="594" t="e">
        <f t="shared" si="42"/>
        <v>#VALUE!</v>
      </c>
      <c r="J98" s="680" t="e">
        <f t="shared" si="42"/>
        <v>#VALUE!</v>
      </c>
      <c r="K98" s="386"/>
      <c r="S98" s="396"/>
      <c r="T98" s="396"/>
      <c r="U98" s="396"/>
      <c r="V98" s="396"/>
      <c r="W98" s="396"/>
      <c r="X98" s="396"/>
      <c r="Y98" s="396"/>
      <c r="Z98" s="396"/>
      <c r="AA98" s="397"/>
    </row>
    <row r="99" spans="1:44" hidden="1" x14ac:dyDescent="0.25">
      <c r="A99" s="797"/>
      <c r="B99" s="662" t="s">
        <v>133</v>
      </c>
      <c r="C99" s="597" t="e">
        <f>225*(C$95-1+SQRT((1-C$95)^2+((3600/C$93)*C$95/37.5)))*(C$93/3600)</f>
        <v>#VALUE!</v>
      </c>
      <c r="D99" s="597" t="e">
        <f t="shared" ref="D99:I99" si="43">225*(D$95-1+SQRT((1-D$95)^2+((3600/D$93)*D$95/37.5)))*(D$93/3600)</f>
        <v>#VALUE!</v>
      </c>
      <c r="E99" s="597" t="e">
        <f t="shared" si="43"/>
        <v>#VALUE!</v>
      </c>
      <c r="F99" s="597" t="e">
        <f t="shared" si="43"/>
        <v>#VALUE!</v>
      </c>
      <c r="G99" s="597" t="e">
        <f t="shared" si="43"/>
        <v>#VALUE!</v>
      </c>
      <c r="H99" s="597" t="e">
        <f t="shared" si="43"/>
        <v>#VALUE!</v>
      </c>
      <c r="I99" s="597" t="e">
        <f t="shared" si="43"/>
        <v>#VALUE!</v>
      </c>
      <c r="J99" s="607" t="e">
        <f>225*(J$95-1+SQRT((1-J$95)^2+((3600/J$93)*J$95/37.5)))*(J$93/3600)</f>
        <v>#VALUE!</v>
      </c>
      <c r="K99" s="386"/>
      <c r="S99" s="396"/>
      <c r="T99" s="396"/>
      <c r="U99" s="396"/>
      <c r="V99" s="396"/>
      <c r="W99" s="396"/>
      <c r="X99" s="396"/>
      <c r="Y99" s="396"/>
      <c r="Z99" s="396"/>
      <c r="AA99" s="397"/>
    </row>
    <row r="100" spans="1:44" hidden="1" x14ac:dyDescent="0.25">
      <c r="A100" s="939" t="s">
        <v>138</v>
      </c>
      <c r="B100" s="940"/>
      <c r="C100" s="606" t="e">
        <f>(C99*($Q$59/D$57))</f>
        <v>#VALUE!</v>
      </c>
      <c r="D100" s="606" t="e">
        <f t="shared" ref="D100:H100" si="44">(D99*($Q$59/D$57))</f>
        <v>#VALUE!</v>
      </c>
      <c r="E100" s="683" t="e">
        <f>(E99*($Q$59/F$57))</f>
        <v>#VALUE!</v>
      </c>
      <c r="F100" s="683" t="e">
        <f t="shared" si="44"/>
        <v>#VALUE!</v>
      </c>
      <c r="G100" s="606" t="e">
        <f>(G99*($Q$59/H$57))</f>
        <v>#VALUE!</v>
      </c>
      <c r="H100" s="606" t="e">
        <f t="shared" si="44"/>
        <v>#VALUE!</v>
      </c>
      <c r="I100" s="683" t="e">
        <f>(I99*($Q$59/J$57))</f>
        <v>#VALUE!</v>
      </c>
      <c r="J100" s="572" t="e">
        <f>(J99*($Q$59/J$57))</f>
        <v>#VALUE!</v>
      </c>
      <c r="K100" s="386"/>
      <c r="S100" s="396"/>
      <c r="T100" s="396"/>
      <c r="U100" s="396"/>
      <c r="V100" s="396"/>
      <c r="W100" s="396"/>
      <c r="X100" s="396"/>
      <c r="Y100" s="396"/>
      <c r="Z100" s="396"/>
      <c r="AA100" s="397"/>
    </row>
    <row r="101" spans="1:44" hidden="1" x14ac:dyDescent="0.25">
      <c r="A101" s="797"/>
      <c r="B101" s="693" t="s">
        <v>314</v>
      </c>
      <c r="C101" s="708">
        <f>IFERROR(HLOOKUP("NE (2)",$E$157:$J$186,26,FALSE),0)</f>
        <v>0</v>
      </c>
      <c r="D101" s="709"/>
      <c r="E101" s="694">
        <f>IFERROR(HLOOKUP("SE (4)",$E$157:$J$186,26,FALSE),0)</f>
        <v>0</v>
      </c>
      <c r="F101" s="699"/>
      <c r="G101" s="708">
        <f>IFERROR(HLOOKUP("SW (5)",$E$157:$J$186,26,FALSE),0)</f>
        <v>0</v>
      </c>
      <c r="H101" s="709"/>
      <c r="I101" s="694">
        <f>IFERROR(HLOOKUP("NW (8)",$E$157:$J$186,26,FALSE),0)</f>
        <v>0</v>
      </c>
      <c r="J101" s="700"/>
      <c r="K101" s="386"/>
      <c r="S101" s="396"/>
      <c r="T101" s="396"/>
      <c r="U101" s="396"/>
      <c r="V101" s="396"/>
      <c r="W101" s="396"/>
      <c r="X101" s="396"/>
      <c r="Y101" s="396"/>
      <c r="Z101" s="396"/>
      <c r="AA101" s="397"/>
    </row>
    <row r="102" spans="1:44" hidden="1" x14ac:dyDescent="0.25">
      <c r="A102" s="797"/>
      <c r="B102" s="693" t="s">
        <v>315</v>
      </c>
      <c r="C102" s="708">
        <f>IFERROR(HLOOKUP("NE (2)",$E$157:$J$186,24,FALSE),0)</f>
        <v>0</v>
      </c>
      <c r="D102" s="709"/>
      <c r="E102" s="694">
        <f>IFERROR(HLOOKUP("SE (4)",$E$157:$J$186,24,FALSE),0)</f>
        <v>0</v>
      </c>
      <c r="F102" s="699"/>
      <c r="G102" s="708">
        <f>IFERROR(HLOOKUP("SW (5)",$E$157:$J$186,24,FALSE),0)</f>
        <v>0</v>
      </c>
      <c r="H102" s="709"/>
      <c r="I102" s="694">
        <f>IFERROR(HLOOKUP("NW (8)",$E$157:$J$186,26,FALSE),0)</f>
        <v>0</v>
      </c>
      <c r="J102" s="702"/>
      <c r="K102" s="386"/>
      <c r="S102" s="396"/>
      <c r="T102" s="396"/>
      <c r="U102" s="396"/>
      <c r="V102" s="396"/>
      <c r="W102" s="396"/>
      <c r="X102" s="396"/>
      <c r="Y102" s="396"/>
      <c r="Z102" s="396"/>
      <c r="AA102" s="397"/>
    </row>
    <row r="103" spans="1:44" ht="13.5" hidden="1" customHeight="1" x14ac:dyDescent="0.25">
      <c r="A103" s="973" t="s">
        <v>309</v>
      </c>
      <c r="B103" s="974"/>
      <c r="C103" s="1018" t="str">
        <f>IF(C94="NA",IF(D94="NA"," ",((D96*D94)+(C101*C102))/(D94+C102)),IF(D94="NA",((C96*C94)+(C101*C102))/(C94+C102),(((C96*C94)+(D96*D94)+(C101*C102)))/(C94+D94+C102)))</f>
        <v xml:space="preserve"> </v>
      </c>
      <c r="D103" s="1019"/>
      <c r="E103" s="1016" t="str">
        <f t="shared" ref="E103" si="45">IF(E94="NA",IF(F94="NA"," ",((F96*F94)+(E101*E102))/(F94+E102)),IF(F94="NA",((E96*E94)+(E101*E102))/(E94+E102),(((E96*E94)+(F96*F94)+(E101*E102)))/(E94+F94+E102)))</f>
        <v xml:space="preserve"> </v>
      </c>
      <c r="F103" s="1017"/>
      <c r="G103" s="1018" t="str">
        <f t="shared" ref="G103" si="46">IF(G94="NA",IF(H94="NA"," ",((H96*H94)+(G101*G102))/(H94+G102)),IF(H94="NA",((G96*G94)+(G101*G102))/(G94+G102),(((G96*G94)+(H96*H94)+(G101*G102)))/(G94+H94+G102)))</f>
        <v xml:space="preserve"> </v>
      </c>
      <c r="H103" s="1019"/>
      <c r="I103" s="1016" t="str">
        <f t="shared" ref="I103" si="47">IF(I94="NA",IF(J94="NA"," ",((J96*J94)+(I101*I102))/(J94+I102)),IF(J94="NA",((I96*I94)+(I101*I102))/(I94+I102),(((I96*I94)+(J96*J94)+(I101*I102)))/(I94+J94+I102)))</f>
        <v xml:space="preserve"> </v>
      </c>
      <c r="J103" s="1041"/>
      <c r="K103" s="386"/>
      <c r="S103" s="396"/>
      <c r="T103" s="396"/>
      <c r="U103" s="396"/>
      <c r="V103" s="396"/>
      <c r="W103" s="396"/>
      <c r="X103" s="396"/>
      <c r="Y103" s="396"/>
      <c r="Z103" s="396"/>
      <c r="AA103" s="397"/>
    </row>
    <row r="104" spans="1:44" s="574" customFormat="1" ht="13.5" hidden="1" customHeight="1" x14ac:dyDescent="0.25">
      <c r="A104" s="799"/>
      <c r="B104" s="800"/>
      <c r="C104" s="801" t="e">
        <f>ROUND(C103,1)</f>
        <v>#VALUE!</v>
      </c>
      <c r="D104" s="547"/>
      <c r="E104" s="801" t="e">
        <f>ROUND(E103,1)</f>
        <v>#VALUE!</v>
      </c>
      <c r="F104" s="546"/>
      <c r="G104" s="801" t="e">
        <f>ROUND(G103,1)</f>
        <v>#VALUE!</v>
      </c>
      <c r="H104" s="547"/>
      <c r="I104" s="801" t="e">
        <f>ROUND(I103,1)</f>
        <v>#VALUE!</v>
      </c>
      <c r="J104" s="805"/>
      <c r="K104" s="593"/>
      <c r="L104" s="591"/>
      <c r="M104" s="591"/>
      <c r="N104" s="591"/>
      <c r="O104" s="591"/>
      <c r="P104" s="591"/>
      <c r="Q104" s="591"/>
      <c r="R104" s="591"/>
      <c r="S104" s="595"/>
      <c r="T104" s="595"/>
      <c r="U104" s="595"/>
      <c r="V104" s="595"/>
      <c r="W104" s="595"/>
      <c r="X104" s="595"/>
      <c r="Y104" s="595"/>
      <c r="Z104" s="595"/>
      <c r="AA104" s="596"/>
      <c r="AB104" s="591"/>
      <c r="AC104" s="591"/>
      <c r="AD104" s="591"/>
      <c r="AE104" s="591"/>
      <c r="AF104" s="591"/>
      <c r="AG104" s="591"/>
      <c r="AH104" s="591"/>
      <c r="AI104" s="591"/>
      <c r="AJ104" s="591"/>
      <c r="AK104" s="591"/>
      <c r="AL104" s="591"/>
      <c r="AM104" s="591"/>
      <c r="AN104" s="591"/>
      <c r="AO104" s="591"/>
      <c r="AP104" s="591"/>
      <c r="AQ104" s="591"/>
    </row>
    <row r="105" spans="1:44" ht="13.5" hidden="1" customHeight="1" x14ac:dyDescent="0.25">
      <c r="A105" s="973" t="s">
        <v>310</v>
      </c>
      <c r="B105" s="974"/>
      <c r="C105" s="1049" t="e">
        <f>VLOOKUP(C103,$Y59:$Z64,2,TRUE)</f>
        <v>#N/A</v>
      </c>
      <c r="D105" s="1050"/>
      <c r="E105" s="1051" t="e">
        <f>VLOOKUP(E103,$Y59:$Z64,2,TRUE)</f>
        <v>#N/A</v>
      </c>
      <c r="F105" s="1052"/>
      <c r="G105" s="1049" t="e">
        <f>VLOOKUP(G103,$Y59:$Z64,2,TRUE)</f>
        <v>#N/A</v>
      </c>
      <c r="H105" s="1050"/>
      <c r="I105" s="1051" t="e">
        <f>VLOOKUP(I103,$Y59:$Z64,2,TRUE)</f>
        <v>#N/A</v>
      </c>
      <c r="J105" s="1053"/>
      <c r="K105" s="386"/>
      <c r="S105" s="396"/>
      <c r="T105" s="396"/>
      <c r="U105" s="396"/>
      <c r="V105" s="396"/>
      <c r="W105" s="396"/>
      <c r="X105" s="396"/>
      <c r="Y105" s="396"/>
      <c r="Z105" s="396"/>
      <c r="AA105" s="397"/>
    </row>
    <row r="106" spans="1:44" ht="13.5" hidden="1" customHeight="1" thickBot="1" x14ac:dyDescent="0.3">
      <c r="A106" s="973" t="s">
        <v>331</v>
      </c>
      <c r="B106" s="974"/>
      <c r="C106" s="975" t="e">
        <f>C104&amp;" sec, LOS "&amp;C105</f>
        <v>#VALUE!</v>
      </c>
      <c r="D106" s="976"/>
      <c r="E106" s="977" t="e">
        <f>E104&amp;" sec, LOS "&amp;E105</f>
        <v>#VALUE!</v>
      </c>
      <c r="F106" s="978"/>
      <c r="G106" s="975" t="e">
        <f>G104&amp;" sec, LOS "&amp;G105</f>
        <v>#VALUE!</v>
      </c>
      <c r="H106" s="976"/>
      <c r="I106" s="979" t="e">
        <f>I104&amp;" sec, LOS "&amp;I105</f>
        <v>#VALUE!</v>
      </c>
      <c r="J106" s="980"/>
      <c r="K106" s="386"/>
      <c r="S106" s="396"/>
      <c r="T106" s="396"/>
      <c r="U106" s="396"/>
      <c r="V106" s="396"/>
      <c r="W106" s="396"/>
      <c r="X106" s="396"/>
      <c r="Y106" s="396"/>
      <c r="Z106" s="396"/>
      <c r="AA106" s="397"/>
    </row>
    <row r="107" spans="1:44" s="382" customFormat="1" ht="15.75" customHeight="1" thickTop="1" x14ac:dyDescent="0.25">
      <c r="A107" s="996" t="s">
        <v>342</v>
      </c>
      <c r="B107" s="997"/>
      <c r="C107" s="1037" t="s">
        <v>28</v>
      </c>
      <c r="D107" s="1038"/>
      <c r="E107" s="1039" t="s">
        <v>30</v>
      </c>
      <c r="F107" s="1038"/>
      <c r="G107" s="1039" t="s">
        <v>32</v>
      </c>
      <c r="H107" s="1038"/>
      <c r="I107" s="1039" t="s">
        <v>34</v>
      </c>
      <c r="J107" s="1054"/>
      <c r="S107" s="396"/>
      <c r="T107" s="396"/>
      <c r="U107" s="396"/>
      <c r="V107" s="396"/>
      <c r="W107" s="396"/>
      <c r="X107" s="396"/>
      <c r="Y107" s="396"/>
      <c r="Z107" s="396"/>
      <c r="AA107" s="397"/>
      <c r="AR107" s="363"/>
    </row>
    <row r="108" spans="1:44" s="382" customFormat="1" ht="12" customHeight="1" x14ac:dyDescent="0.25">
      <c r="A108" s="1023" t="s">
        <v>312</v>
      </c>
      <c r="B108" s="1024"/>
      <c r="C108" s="684" t="str">
        <f>IF(C$13="select","Lane 1",C$13)</f>
        <v>Lane 1</v>
      </c>
      <c r="D108" s="685" t="str">
        <f>IF(D$13="select","Lane 2",D$13)</f>
        <v>Lane 2</v>
      </c>
      <c r="E108" s="686" t="str">
        <f>IF(G$13="select","Lane 1",G$13)</f>
        <v>Lane 1</v>
      </c>
      <c r="F108" s="687" t="str">
        <f>IF(H$13="select","Lane 2",H$13)</f>
        <v>Lane 2</v>
      </c>
      <c r="G108" s="688" t="str">
        <f>IF(C$24="select","Lane 1",C$24)</f>
        <v>Lane 1</v>
      </c>
      <c r="H108" s="685" t="str">
        <f>IF(D$24="select","Lane 2",D$24)</f>
        <v>Lane 2</v>
      </c>
      <c r="I108" s="686" t="str">
        <f>IF(G$24="select","Lane 1",G$24)</f>
        <v>Lane 1</v>
      </c>
      <c r="J108" s="691" t="str">
        <f>IF(H$24="select","Lane 2",H$24)</f>
        <v>Lane 2</v>
      </c>
      <c r="K108" s="386"/>
      <c r="S108" s="396"/>
      <c r="T108" s="396"/>
      <c r="U108" s="396"/>
      <c r="V108" s="396"/>
      <c r="W108" s="396"/>
      <c r="X108" s="396"/>
      <c r="Y108" s="396"/>
      <c r="Z108" s="396"/>
      <c r="AA108" s="397"/>
      <c r="AR108" s="363"/>
    </row>
    <row r="109" spans="1:44" s="382" customFormat="1" x14ac:dyDescent="0.25">
      <c r="A109" s="948" t="s">
        <v>276</v>
      </c>
      <c r="B109" s="949"/>
      <c r="C109" s="672" t="str">
        <f>IF(COUNTBLANK($C$14:$C$21)=8,"NA",IF($C$48=2,(IF($C$49=1,(IF(COUNTBLANK($C$14:$D$21)=16,"NA",1420*EXP(-0.00091*$C$72)*$C$57*$C$58)),IF(COUNTBLANK($C$14:$D$21)=16,"NA",1350*EXP(-0.00092*$C$72)*$C$57*$C$58))),(IF($C$49=1,(IF(COUNTBLANK($C$14:$D$21)=16,"NA",1380*EXP(-0.00102*$C$72)*$C$57*$C$58)),(IF(COUNTBLANK($C$14:$D$21)=16,"NA",1420*EXP(-0.00085*$C$72)*$C$57*$C$58))))))</f>
        <v>NA</v>
      </c>
      <c r="D109" s="673" t="str">
        <f>IF(COUNTBLANK($D$14:$D$21)=8,"NA",IF($C$48=2,(IF($C$49=1,(IF(COUNTBLANK($C$14:$D$21)=16,"NA",1420*EXP(-0.00091*$C$72)*$C$57*$C$58)),IF(COUNTBLANK($C$14:$D$21)=16,"NA",1420*EXP(-0.00085*$C$72)*$C$57*$C$58))),(IF($C$49=1,(IF(COUNTBLANK($C$14:$D$21)=16,"NA",1380*EXP(-0.00102*$C$72)*$C$57*$C$58)),(IF(COUNTBLANK($C$14:$D$21)=16,"NA",1420*EXP(-0.00085*$C$72)*$C$57*$C$58))))))</f>
        <v>NA</v>
      </c>
      <c r="E109" s="584" t="str">
        <f>IF(COUNTBLANK($G$14:$G$21)=8,"NA",IF($E$48=2,(IF($E$49=1,(IF(COUNTBLANK($G$14:$H$21)=16,"NA",1420*EXP(-0.00091*$E$72)*$E$57*$E$58)),IF(COUNTBLANK($G$14:$H$21)=16,"NA",1350*EXP(-0.00092*$E$72)*$E$57*$E$58))),(IF($E$49=1,(IF(COUNTBLANK($G$14:$H$21)=16,"NA",1380*EXP(-0.00102*$E$72)*$E$57*$E$58)),(IF(COUNTBLANK($G$14:$H$21)=16,"NA",1420*EXP(-0.00085*$E$72)*$E$57*$E$58))))))</f>
        <v>NA</v>
      </c>
      <c r="F109" s="584" t="str">
        <f>IF(COUNTBLANK($H$14:$H$21)=8,"NA",IF($E$48=2,(IF($E$49=1,(IF(COUNTBLANK($G$14:$H$21)=16,"NA",1420*EXP(-0.00091*$E$72)*$E$57*$E$58)),IF(COUNTBLANK($G$14:$H$21)=16,"NA",1420*EXP(-0.00085*$E$72)*$E$57*$E$58))),(IF($E$49=1,(IF(COUNTBLANK($G$14:$H$21)=16,"NA",1380*EXP(-0.00102*$E$72)*$E$57*$E$58)),(IF(COUNTBLANK($G$14:$H$21)=16,"NA",1420*EXP(-0.00085*$E$72)*$E$57*$E$58))))))</f>
        <v>NA</v>
      </c>
      <c r="G109" s="673" t="str">
        <f>IF(COUNTBLANK($C$25:$C$32)=8,"NA",IF($G$48=2,(IF($G$49=1,(IF(COUNTBLANK($C$25:$D$32)=16,"NA",1420*EXP(-0.00091*$G$72)*$G$57*$G$58)),IF(COUNTBLANK($C$25:$D$32)=16,"NA",1350*EXP(-0.00092*$G$72)*$G$57*$G$58))),(IF($G$49=1,(IF(COUNTBLANK($C$25:$D$32)=16,"NA",1380*EXP(-0.00102*$G$72)*$G$57*$G$58)),(IF(COUNTBLANK($C$25:$D$32)=16,"NA",1420*EXP(-0.00085*$G$72)*$G$57*$G$58))))))</f>
        <v>NA</v>
      </c>
      <c r="H109" s="673" t="str">
        <f>IF(COUNTBLANK($D$25:$D$32)=8,"NA",IF($G$48=2,(IF($G$49=1,(IF(COUNTBLANK($C$25:$D$32)=16,"NA",1420*EXP(-0.00091*$G$72)*$G$57*$G$58)),IF(COUNTBLANK($C$25:$D$32)=16,"NA",1420*EXP(-0.00085*$G$72)*$G$57*$G$58))),(IF($G$49=1,(IF(COUNTBLANK($C$25:$D$32)=16,"NA",1380*EXP(-0.00102*$G$72)*$G$57*$G$58)),(IF(COUNTBLANK($C$25:$D$32)=16,"NA",1420*EXP(-0.00085*$G$72)*$G$57*$G$58))))))</f>
        <v>NA</v>
      </c>
      <c r="I109" s="584" t="str">
        <f>IF(COUNTBLANK($G$25:$G$32)=8,"NA",IF($I$48=2,(IF($I$49=1,(IF(COUNTBLANK($G$25:$H$32)=16,"NA",1420*EXP(-0.00091*$I$72)*$I$57*$I$58)),IF(COUNTBLANK($G$25:$H$32)=16,"NA",1350*EXP(-0.00092*$I$72)*$I$57*$I$58))),(IF($I$49=1,(IF(COUNTBLANK($G$25:$H$32)=16,"NA",1380*EXP(-0.00102*$I$72)*$I$57*$I$58)),(IF(COUNTBLANK($G$25:$H$32)=16,"NA",1420*EXP(-0.00085*$I$72)*$I$57*$I$58))))))</f>
        <v>NA</v>
      </c>
      <c r="J109" s="585" t="str">
        <f>IF(COUNTBLANK($H$25:$H$32)=8,"NA",IF($I$48=2,(IF($I$49=1,(IF(COUNTBLANK($G$25:$H$32)=16,"NA",1420*EXP(-0.00091*$I$72)*$I$57*$I$58)),IF(COUNTBLANK($G$25:$H$32)=16,"NA",1420*EXP(-0.00085*$I$72)*$I$57*$I$58))),(IF($I$49=1,(IF(COUNTBLANK($G$25:$H$32)=16,"NA",1380*EXP(-0.00102*$I$72)*$I$57*$I$58)),(IF(COUNTBLANK($G$25:$H$32)=16,"NA",1420*EXP(-0.00085*$I$72)*$I$57*$I$58))))))</f>
        <v>NA</v>
      </c>
      <c r="K109" s="386"/>
      <c r="S109" s="396"/>
      <c r="T109" s="396"/>
      <c r="U109" s="396"/>
      <c r="V109" s="396"/>
      <c r="W109" s="396"/>
      <c r="X109" s="396"/>
      <c r="Y109" s="396"/>
      <c r="Z109" s="396"/>
      <c r="AA109" s="397"/>
      <c r="AR109" s="363"/>
    </row>
    <row r="110" spans="1:44" s="382" customFormat="1" ht="15.75" thickBot="1" x14ac:dyDescent="0.3">
      <c r="A110" s="948" t="s">
        <v>272</v>
      </c>
      <c r="B110" s="949"/>
      <c r="C110" s="674">
        <f>IF(C109="NA",,C$70*C$57)</f>
        <v>0</v>
      </c>
      <c r="D110" s="674">
        <f>IF(D109="NA",,$C$71*$C$57)</f>
        <v>0</v>
      </c>
      <c r="E110" s="613">
        <f>IF(E109="NA",,$E$70*$E$57)</f>
        <v>0</v>
      </c>
      <c r="F110" s="613">
        <f>IF(F109="NA",,$E$71*$E$57)</f>
        <v>0</v>
      </c>
      <c r="G110" s="674">
        <f>IF(G109="NA",,$G$70*$G$57)</f>
        <v>0</v>
      </c>
      <c r="H110" s="674">
        <f>IF(H109="NA",,$G$71*$G$57)</f>
        <v>0</v>
      </c>
      <c r="I110" s="613">
        <f>IF(I109="NA",,$I$70*$I$57)</f>
        <v>0</v>
      </c>
      <c r="J110" s="634">
        <f>IF(J109="NA",,$I$71*$I$57)</f>
        <v>0</v>
      </c>
      <c r="S110" s="396"/>
      <c r="T110" s="396"/>
      <c r="U110" s="396"/>
      <c r="V110" s="396"/>
      <c r="W110" s="396"/>
      <c r="X110" s="396"/>
      <c r="Y110" s="396"/>
      <c r="Z110" s="396"/>
      <c r="AA110" s="397"/>
      <c r="AR110" s="363"/>
    </row>
    <row r="111" spans="1:44" s="382" customFormat="1" ht="15.75" thickTop="1" x14ac:dyDescent="0.25">
      <c r="A111" s="939" t="s">
        <v>203</v>
      </c>
      <c r="B111" s="940"/>
      <c r="C111" s="675">
        <f>IF(C109="NA",,C110/C109)</f>
        <v>0</v>
      </c>
      <c r="D111" s="675">
        <f>IF(D109="NA",,D110/D109)</f>
        <v>0</v>
      </c>
      <c r="E111" s="612">
        <f t="shared" ref="E111:J111" si="48">IF(E109="NA",,E110/E109)</f>
        <v>0</v>
      </c>
      <c r="F111" s="612">
        <f t="shared" si="48"/>
        <v>0</v>
      </c>
      <c r="G111" s="675">
        <f t="shared" si="48"/>
        <v>0</v>
      </c>
      <c r="H111" s="675">
        <f t="shared" si="48"/>
        <v>0</v>
      </c>
      <c r="I111" s="612">
        <f t="shared" si="48"/>
        <v>0</v>
      </c>
      <c r="J111" s="635">
        <f t="shared" si="48"/>
        <v>0</v>
      </c>
      <c r="S111" s="396"/>
      <c r="T111" s="396"/>
      <c r="U111" s="396"/>
      <c r="V111" s="396"/>
      <c r="W111" s="396"/>
      <c r="X111" s="396"/>
      <c r="Y111" s="396"/>
      <c r="Z111" s="396"/>
      <c r="AA111" s="397"/>
      <c r="AR111" s="363"/>
    </row>
    <row r="112" spans="1:44" s="382" customFormat="1" x14ac:dyDescent="0.25">
      <c r="A112" s="939" t="s">
        <v>311</v>
      </c>
      <c r="B112" s="940"/>
      <c r="C112" s="676">
        <f>IFERROR(3600/C109+900*0.25*(C111-1+SQRT((C111-1)^2+((3600/C109)*C111)/(450*0.25)))+(5*(MIN(C111,1))),)</f>
        <v>0</v>
      </c>
      <c r="D112" s="676">
        <f t="shared" ref="D112:J112" si="49">IFERROR(3600/D109+900*0.25*(D111-1+SQRT((D111-1)^2+((3600/D109)*D111)/(450*0.25)))+(5*(MIN(D111,1))),)</f>
        <v>0</v>
      </c>
      <c r="E112" s="620">
        <f t="shared" si="49"/>
        <v>0</v>
      </c>
      <c r="F112" s="620">
        <f t="shared" si="49"/>
        <v>0</v>
      </c>
      <c r="G112" s="676">
        <f t="shared" si="49"/>
        <v>0</v>
      </c>
      <c r="H112" s="676">
        <f t="shared" si="49"/>
        <v>0</v>
      </c>
      <c r="I112" s="620">
        <f t="shared" si="49"/>
        <v>0</v>
      </c>
      <c r="J112" s="643">
        <f t="shared" si="49"/>
        <v>0</v>
      </c>
      <c r="S112" s="396"/>
      <c r="T112" s="396"/>
      <c r="U112" s="396"/>
      <c r="V112" s="396"/>
      <c r="W112" s="396"/>
      <c r="X112" s="396"/>
      <c r="Y112" s="396"/>
      <c r="Z112" s="396"/>
      <c r="AA112" s="397"/>
      <c r="AR112" s="363"/>
    </row>
    <row r="113" spans="1:44" s="382" customFormat="1" ht="15" customHeight="1" x14ac:dyDescent="0.25">
      <c r="A113" s="948" t="s">
        <v>85</v>
      </c>
      <c r="B113" s="949"/>
      <c r="C113" s="594" t="e">
        <f>VLOOKUP(C112,$Y59:$Z64,2,TRUE)</f>
        <v>#N/A</v>
      </c>
      <c r="D113" s="594" t="e">
        <f t="shared" ref="D113:J113" si="50">VLOOKUP(D112,$Y59:$Z64,2,TRUE)</f>
        <v>#N/A</v>
      </c>
      <c r="E113" s="722" t="e">
        <f t="shared" si="50"/>
        <v>#N/A</v>
      </c>
      <c r="F113" s="722" t="e">
        <f t="shared" si="50"/>
        <v>#N/A</v>
      </c>
      <c r="G113" s="594" t="e">
        <f t="shared" si="50"/>
        <v>#N/A</v>
      </c>
      <c r="H113" s="594" t="e">
        <f t="shared" si="50"/>
        <v>#N/A</v>
      </c>
      <c r="I113" s="722" t="e">
        <f t="shared" si="50"/>
        <v>#N/A</v>
      </c>
      <c r="J113" s="723" t="e">
        <f t="shared" si="50"/>
        <v>#N/A</v>
      </c>
      <c r="S113" s="396"/>
      <c r="T113" s="396"/>
      <c r="U113" s="396"/>
      <c r="V113" s="396"/>
      <c r="W113" s="396"/>
      <c r="X113" s="396"/>
      <c r="Y113" s="396"/>
      <c r="Z113" s="396"/>
      <c r="AA113" s="397"/>
      <c r="AR113" s="363"/>
    </row>
    <row r="114" spans="1:44" s="382" customFormat="1" hidden="1" x14ac:dyDescent="0.25">
      <c r="A114" s="797"/>
      <c r="B114" s="583" t="s">
        <v>180</v>
      </c>
      <c r="C114" s="594" t="e">
        <f>VLOOKUP(C112,$Y$66:$Z$71,2,TRUE)</f>
        <v>#N/A</v>
      </c>
      <c r="D114" s="594" t="e">
        <f t="shared" ref="D114:J114" si="51">VLOOKUP(D112,$Y$66:$Z$71,2,TRUE)</f>
        <v>#N/A</v>
      </c>
      <c r="E114" s="588" t="e">
        <f t="shared" si="51"/>
        <v>#N/A</v>
      </c>
      <c r="F114" s="588" t="e">
        <f t="shared" si="51"/>
        <v>#N/A</v>
      </c>
      <c r="G114" s="594" t="e">
        <f t="shared" si="51"/>
        <v>#N/A</v>
      </c>
      <c r="H114" s="594" t="e">
        <f t="shared" si="51"/>
        <v>#N/A</v>
      </c>
      <c r="I114" s="588" t="e">
        <f t="shared" si="51"/>
        <v>#N/A</v>
      </c>
      <c r="J114" s="589" t="e">
        <f t="shared" si="51"/>
        <v>#N/A</v>
      </c>
      <c r="S114" s="396"/>
      <c r="T114" s="396"/>
      <c r="U114" s="396"/>
      <c r="V114" s="396"/>
      <c r="W114" s="396"/>
      <c r="X114" s="396"/>
      <c r="Y114" s="396"/>
      <c r="Z114" s="396"/>
      <c r="AA114" s="397"/>
      <c r="AR114" s="363"/>
    </row>
    <row r="115" spans="1:44" s="591" customFormat="1" hidden="1" x14ac:dyDescent="0.25">
      <c r="A115" s="856"/>
      <c r="B115" s="760" t="s">
        <v>356</v>
      </c>
      <c r="C115" s="594">
        <f>C110*C112/3600</f>
        <v>0</v>
      </c>
      <c r="D115" s="594">
        <f t="shared" ref="D115:J115" si="52">D110*D112/3600</f>
        <v>0</v>
      </c>
      <c r="E115" s="588">
        <f t="shared" si="52"/>
        <v>0</v>
      </c>
      <c r="F115" s="588">
        <f t="shared" si="52"/>
        <v>0</v>
      </c>
      <c r="G115" s="594">
        <f t="shared" si="52"/>
        <v>0</v>
      </c>
      <c r="H115" s="594">
        <f t="shared" si="52"/>
        <v>0</v>
      </c>
      <c r="I115" s="588">
        <f t="shared" si="52"/>
        <v>0</v>
      </c>
      <c r="J115" s="589">
        <f t="shared" si="52"/>
        <v>0</v>
      </c>
      <c r="S115" s="595"/>
      <c r="T115" s="595"/>
      <c r="U115" s="595"/>
      <c r="V115" s="595"/>
      <c r="W115" s="595"/>
      <c r="X115" s="595"/>
      <c r="Y115" s="595"/>
      <c r="Z115" s="595"/>
      <c r="AA115" s="596"/>
      <c r="AR115" s="574"/>
    </row>
    <row r="116" spans="1:44" s="591" customFormat="1" x14ac:dyDescent="0.25">
      <c r="A116" s="939" t="s">
        <v>354</v>
      </c>
      <c r="B116" s="940"/>
      <c r="C116" s="594">
        <f>ROUND(C115*$Q$59,)</f>
        <v>0</v>
      </c>
      <c r="D116" s="594">
        <f t="shared" ref="D116:J116" si="53">ROUND(D115*$Q$59,)</f>
        <v>0</v>
      </c>
      <c r="E116" s="588">
        <f t="shared" si="53"/>
        <v>0</v>
      </c>
      <c r="F116" s="588">
        <f t="shared" si="53"/>
        <v>0</v>
      </c>
      <c r="G116" s="594">
        <f t="shared" si="53"/>
        <v>0</v>
      </c>
      <c r="H116" s="594">
        <f t="shared" si="53"/>
        <v>0</v>
      </c>
      <c r="I116" s="588">
        <f t="shared" si="53"/>
        <v>0</v>
      </c>
      <c r="J116" s="589">
        <f t="shared" si="53"/>
        <v>0</v>
      </c>
      <c r="S116" s="595"/>
      <c r="T116" s="595"/>
      <c r="U116" s="595"/>
      <c r="V116" s="595"/>
      <c r="W116" s="595"/>
      <c r="X116" s="595"/>
      <c r="Y116" s="595"/>
      <c r="Z116" s="595"/>
      <c r="AA116" s="596"/>
      <c r="AR116" s="574"/>
    </row>
    <row r="117" spans="1:44" s="382" customFormat="1" hidden="1" x14ac:dyDescent="0.25">
      <c r="A117" s="797"/>
      <c r="B117" s="662" t="s">
        <v>133</v>
      </c>
      <c r="C117" s="677" t="e">
        <f>225*(C$111-1+SQRT((1-C$111)^2+((3600/C$109)*C$111/37.5)))*(C$109/3600)</f>
        <v>#VALUE!</v>
      </c>
      <c r="D117" s="677" t="e">
        <f t="shared" ref="D117:J117" si="54">225*(D$111-1+SQRT((1-D$111)^2+((3600/D$109)*D$111/37.5)))*(D$109/3600)</f>
        <v>#VALUE!</v>
      </c>
      <c r="E117" s="597" t="e">
        <f t="shared" si="54"/>
        <v>#VALUE!</v>
      </c>
      <c r="F117" s="597" t="e">
        <f t="shared" si="54"/>
        <v>#VALUE!</v>
      </c>
      <c r="G117" s="677" t="e">
        <f t="shared" si="54"/>
        <v>#VALUE!</v>
      </c>
      <c r="H117" s="677" t="e">
        <f t="shared" si="54"/>
        <v>#VALUE!</v>
      </c>
      <c r="I117" s="597" t="e">
        <f t="shared" si="54"/>
        <v>#VALUE!</v>
      </c>
      <c r="J117" s="607" t="e">
        <f t="shared" si="54"/>
        <v>#VALUE!</v>
      </c>
      <c r="S117" s="396"/>
      <c r="T117" s="396"/>
      <c r="U117" s="396"/>
      <c r="V117" s="396"/>
      <c r="W117" s="396"/>
      <c r="X117" s="396"/>
      <c r="Y117" s="396"/>
      <c r="Z117" s="396"/>
      <c r="AA117" s="397"/>
      <c r="AR117" s="363"/>
    </row>
    <row r="118" spans="1:44" s="382" customFormat="1" x14ac:dyDescent="0.25">
      <c r="A118" s="939" t="s">
        <v>138</v>
      </c>
      <c r="B118" s="940"/>
      <c r="C118" s="683" t="e">
        <f>(C117*($Q$59/C$57))</f>
        <v>#VALUE!</v>
      </c>
      <c r="D118" s="683" t="e">
        <f>(D117*($Q$59/C$57))</f>
        <v>#VALUE!</v>
      </c>
      <c r="E118" s="606" t="e">
        <f t="shared" ref="E118" si="55">(E117*($Q$59/E$57))</f>
        <v>#VALUE!</v>
      </c>
      <c r="F118" s="606" t="e">
        <f>(F117*($Q$59/E$57))</f>
        <v>#VALUE!</v>
      </c>
      <c r="G118" s="683" t="e">
        <f t="shared" ref="G118" si="56">(G117*($Q$59/G$57))</f>
        <v>#VALUE!</v>
      </c>
      <c r="H118" s="683" t="e">
        <f>(H117*($Q$59/G$57))</f>
        <v>#VALUE!</v>
      </c>
      <c r="I118" s="606" t="e">
        <f t="shared" ref="I118" si="57">(I117*($Q$59/I$57))</f>
        <v>#VALUE!</v>
      </c>
      <c r="J118" s="616" t="e">
        <f>(J117*($Q$59/I$57))</f>
        <v>#VALUE!</v>
      </c>
      <c r="S118" s="396"/>
      <c r="T118" s="396"/>
      <c r="U118" s="396"/>
      <c r="V118" s="396"/>
      <c r="W118" s="396"/>
      <c r="X118" s="396"/>
      <c r="Y118" s="396"/>
      <c r="Z118" s="396"/>
      <c r="AA118" s="397"/>
      <c r="AR118" s="363"/>
    </row>
    <row r="119" spans="1:44" s="382" customFormat="1" hidden="1" x14ac:dyDescent="0.25">
      <c r="A119" s="797"/>
      <c r="B119" s="693" t="s">
        <v>314</v>
      </c>
      <c r="C119" s="694">
        <f>IFERROR(HLOOKUP("N (1)",$E$157:$J$186,26,FALSE),0)</f>
        <v>0</v>
      </c>
      <c r="D119" s="695"/>
      <c r="E119" s="694">
        <f>IFERROR(HLOOKUP("E (3)",$E$157:$J$186,26,FALSE),0)</f>
        <v>0</v>
      </c>
      <c r="F119" s="696"/>
      <c r="G119" s="694">
        <f>IFERROR(HLOOKUP("S (5)",$E$157:$J$186,26,FALSE),0)</f>
        <v>0</v>
      </c>
      <c r="H119" s="695"/>
      <c r="I119" s="694">
        <f>IFERROR(HLOOKUP("W (7)",$E$157:$J$186,26,FALSE),0)</f>
        <v>0</v>
      </c>
      <c r="J119" s="697"/>
      <c r="S119" s="396"/>
      <c r="T119" s="396"/>
      <c r="U119" s="396"/>
      <c r="V119" s="396"/>
      <c r="W119" s="396"/>
      <c r="X119" s="396"/>
      <c r="Y119" s="396"/>
      <c r="Z119" s="396"/>
      <c r="AA119" s="397"/>
      <c r="AR119" s="363"/>
    </row>
    <row r="120" spans="1:44" s="382" customFormat="1" hidden="1" x14ac:dyDescent="0.25">
      <c r="A120" s="797"/>
      <c r="B120" s="693" t="s">
        <v>315</v>
      </c>
      <c r="C120" s="698">
        <f>IFERROR(HLOOKUP("N (1)",$E$157:$J$186,24,FALSE),0)</f>
        <v>0</v>
      </c>
      <c r="D120" s="695"/>
      <c r="E120" s="698">
        <f>IFERROR(HLOOKUP("E (3)",$E$157:$J$186,24,FALSE),0)</f>
        <v>0</v>
      </c>
      <c r="F120" s="696"/>
      <c r="G120" s="694">
        <f>IFERROR(HLOOKUP("S (5)",$E$157:$J$186,24,FALSE),0)</f>
        <v>0</v>
      </c>
      <c r="H120" s="695"/>
      <c r="I120" s="694">
        <f>IFERROR(HLOOKUP("W (7)",$E$157:$J$186,24,FALSE),0)</f>
        <v>0</v>
      </c>
      <c r="J120" s="697"/>
      <c r="S120" s="396"/>
      <c r="T120" s="396"/>
      <c r="U120" s="396"/>
      <c r="V120" s="396"/>
      <c r="W120" s="396"/>
      <c r="X120" s="396"/>
      <c r="Y120" s="396"/>
      <c r="Z120" s="396"/>
      <c r="AA120" s="397"/>
      <c r="AR120" s="363"/>
    </row>
    <row r="121" spans="1:44" s="382" customFormat="1" hidden="1" x14ac:dyDescent="0.25">
      <c r="A121" s="973" t="s">
        <v>309</v>
      </c>
      <c r="B121" s="974"/>
      <c r="C121" s="1016" t="e">
        <f>IF(C110="NA",IF(D110="NA"," ",((D112*D110)+(C119*C120))/(D110+C120)),IF(D110="NA",((C112*C110)+(C119*C120))/(C110+C120),(((C112*C110)+(D112*D110)+(C119*C120)))/(C110+D110+C120)))</f>
        <v>#DIV/0!</v>
      </c>
      <c r="D121" s="1017"/>
      <c r="E121" s="1018" t="e">
        <f>IF(E110="NA",IF(F110="NA"," ",((F112*F110)+(E119*E120))/(F110+E120)),IF(F110="NA",((E112*E110)+(E119*E120))/(E110+E120),(((E112*E110)+(F112*F110)+(E119*E120)))/(E110+F110+E120)))</f>
        <v>#DIV/0!</v>
      </c>
      <c r="F121" s="1019"/>
      <c r="G121" s="1016" t="e">
        <f>IF(G110="NA",IF(H110="NA"," ",((H112*H110)+(G119*G120))/(H110+G120)),IF(H110="NA",((G112*G110)+(G119*G120))/(G110+G120),(((G112*G110)+(H112*H110)+(G119*G120)))/(G110+H110+G120)))</f>
        <v>#DIV/0!</v>
      </c>
      <c r="H121" s="1017"/>
      <c r="I121" s="1018" t="e">
        <f>IF(I110="NA",IF(J110="NA"," ",((J112*J110)+(I119*I120))/(J110+I120)),IF(J110="NA",((I112*I110)+(I119*I120))/(I110+I120),(((I112*I110)+(J112*J110)+(I119*I120)))/(I110+J110+I120)))</f>
        <v>#DIV/0!</v>
      </c>
      <c r="J121" s="1029"/>
      <c r="S121" s="396"/>
      <c r="T121" s="396"/>
      <c r="U121" s="396"/>
      <c r="V121" s="396"/>
      <c r="W121" s="396"/>
      <c r="X121" s="396"/>
      <c r="Y121" s="396"/>
      <c r="Z121" s="396"/>
      <c r="AA121" s="397"/>
      <c r="AR121" s="363"/>
    </row>
    <row r="122" spans="1:44" s="591" customFormat="1" hidden="1" x14ac:dyDescent="0.25">
      <c r="A122" s="799"/>
      <c r="B122" s="800"/>
      <c r="C122" s="801" t="e">
        <f>ROUND(C121,1)</f>
        <v>#DIV/0!</v>
      </c>
      <c r="D122" s="802"/>
      <c r="E122" s="803" t="e">
        <f>ROUND(E121,1)</f>
        <v>#DIV/0!</v>
      </c>
      <c r="F122" s="573"/>
      <c r="G122" s="801" t="e">
        <f>ROUND(G121,1)</f>
        <v>#DIV/0!</v>
      </c>
      <c r="H122" s="720"/>
      <c r="I122" s="803" t="e">
        <f>ROUND(I121,1)</f>
        <v>#DIV/0!</v>
      </c>
      <c r="J122" s="804"/>
      <c r="S122" s="595"/>
      <c r="T122" s="595"/>
      <c r="U122" s="595"/>
      <c r="V122" s="595"/>
      <c r="W122" s="595"/>
      <c r="X122" s="595"/>
      <c r="Y122" s="595"/>
      <c r="Z122" s="595"/>
      <c r="AA122" s="596"/>
      <c r="AR122" s="574"/>
    </row>
    <row r="123" spans="1:44" s="382" customFormat="1" hidden="1" x14ac:dyDescent="0.25">
      <c r="A123" s="973" t="s">
        <v>310</v>
      </c>
      <c r="B123" s="974"/>
      <c r="C123" s="989" t="e">
        <f>VLOOKUP(C121,$Y$59:$Z$64,2,TRUE)</f>
        <v>#DIV/0!</v>
      </c>
      <c r="D123" s="990"/>
      <c r="E123" s="1034" t="e">
        <f t="shared" ref="E123" si="58">VLOOKUP(E121,$Y$59:$Z$64,2,TRUE)</f>
        <v>#DIV/0!</v>
      </c>
      <c r="F123" s="1036"/>
      <c r="G123" s="989" t="e">
        <f t="shared" ref="G123" si="59">VLOOKUP(G121,$Y$59:$Z$64,2,TRUE)</f>
        <v>#DIV/0!</v>
      </c>
      <c r="H123" s="990"/>
      <c r="I123" s="1034" t="e">
        <f t="shared" ref="I123" si="60">VLOOKUP(I121,$Y$59:$Z$64,2,TRUE)</f>
        <v>#DIV/0!</v>
      </c>
      <c r="J123" s="1035"/>
      <c r="S123" s="396"/>
      <c r="T123" s="396"/>
      <c r="U123" s="396"/>
      <c r="V123" s="396"/>
      <c r="W123" s="396"/>
      <c r="X123" s="396"/>
      <c r="Y123" s="396"/>
      <c r="Z123" s="396"/>
      <c r="AA123" s="397"/>
      <c r="AR123" s="363"/>
    </row>
    <row r="124" spans="1:44" s="382" customFormat="1" x14ac:dyDescent="0.25">
      <c r="A124" s="973" t="s">
        <v>331</v>
      </c>
      <c r="B124" s="974"/>
      <c r="C124" s="989" t="e">
        <f>C122&amp;" sec, LOS "&amp;C123</f>
        <v>#DIV/0!</v>
      </c>
      <c r="D124" s="990"/>
      <c r="E124" s="991" t="e">
        <f>E122&amp;" sec, LOS "&amp;E123</f>
        <v>#DIV/0!</v>
      </c>
      <c r="F124" s="992"/>
      <c r="G124" s="989" t="e">
        <f>G122&amp;" sec, LOS "&amp;G123</f>
        <v>#DIV/0!</v>
      </c>
      <c r="H124" s="990"/>
      <c r="I124" s="991" t="e">
        <f>I122&amp;" sec, LOS "&amp;I123</f>
        <v>#DIV/0!</v>
      </c>
      <c r="J124" s="993"/>
      <c r="K124" s="593"/>
      <c r="S124" s="396"/>
      <c r="T124" s="396"/>
      <c r="U124" s="396"/>
      <c r="V124" s="396"/>
      <c r="W124" s="396"/>
      <c r="X124" s="396"/>
      <c r="Y124" s="396"/>
      <c r="Z124" s="396"/>
      <c r="AA124" s="397"/>
      <c r="AR124" s="363"/>
    </row>
    <row r="125" spans="1:44" s="382" customFormat="1" x14ac:dyDescent="0.25">
      <c r="A125" s="642"/>
      <c r="B125" s="549"/>
      <c r="C125" s="1040" t="s">
        <v>29</v>
      </c>
      <c r="D125" s="972"/>
      <c r="E125" s="971" t="s">
        <v>31</v>
      </c>
      <c r="F125" s="972"/>
      <c r="G125" s="971" t="s">
        <v>33</v>
      </c>
      <c r="H125" s="972"/>
      <c r="I125" s="971" t="s">
        <v>35</v>
      </c>
      <c r="J125" s="1015"/>
      <c r="S125" s="396"/>
      <c r="T125" s="396"/>
      <c r="U125" s="396"/>
      <c r="V125" s="396"/>
      <c r="W125" s="396"/>
      <c r="X125" s="396"/>
      <c r="Y125" s="396"/>
      <c r="Z125" s="396"/>
      <c r="AA125" s="397"/>
      <c r="AR125" s="363"/>
    </row>
    <row r="126" spans="1:44" s="382" customFormat="1" ht="12" customHeight="1" x14ac:dyDescent="0.25">
      <c r="A126" s="568"/>
      <c r="B126" s="692" t="s">
        <v>312</v>
      </c>
      <c r="C126" s="689" t="str">
        <f>IF(E$13="select","Lane 1",E$13)</f>
        <v>Lane 1</v>
      </c>
      <c r="D126" s="687" t="str">
        <f>IF(F$13="select","Lane 2",F$13)</f>
        <v>Lane 2</v>
      </c>
      <c r="E126" s="688" t="str">
        <f>IF(I$13="select","Lane 1",I$13)</f>
        <v>Lane 1</v>
      </c>
      <c r="F126" s="685" t="str">
        <f>IF(J$13="select","Lane 2",J$13)</f>
        <v>Lane 2</v>
      </c>
      <c r="G126" s="686" t="str">
        <f>IF(E$24="select","Lane 1",E$24)</f>
        <v>Lane 1</v>
      </c>
      <c r="H126" s="687" t="str">
        <f>IF(F$24="select","Lane 2",F$24)</f>
        <v>Lane 2</v>
      </c>
      <c r="I126" s="688" t="str">
        <f>IF(I$24="select","Lane 1",I$24)</f>
        <v>Lane 1</v>
      </c>
      <c r="J126" s="690" t="str">
        <f>IF(J$24="select","Lane 2",J$24)</f>
        <v>Lane 2</v>
      </c>
      <c r="S126" s="396"/>
      <c r="T126" s="396"/>
      <c r="U126" s="396"/>
      <c r="V126" s="396"/>
      <c r="W126" s="396"/>
      <c r="X126" s="396"/>
      <c r="Y126" s="396"/>
      <c r="Z126" s="396"/>
      <c r="AA126" s="397"/>
      <c r="AR126" s="363"/>
    </row>
    <row r="127" spans="1:44" s="382" customFormat="1" x14ac:dyDescent="0.25">
      <c r="A127" s="948" t="s">
        <v>276</v>
      </c>
      <c r="B127" s="949"/>
      <c r="C127" s="703" t="str">
        <f>IF(COUNTBLANK($E$14:$E$21)=8,"NA",IF($D$48=2,(IF($D$49=1,(IF(COUNTBLANK($E$14:$F$21)=16,"NA",1420*EXP(-0.00091*$D$72)*$D$57*$D$58)),IF(COUNTBLANK($E$14:$F$21)=16,"NA",1350*EXP(-0.00092*$D$72)*$D$57*$D$58))),(IF($D$49=1,(IF(COUNTBLANK($E$14:$F$21)=16,"NA",1380*EXP(-0.00102*$D$72)*$D$57*$D$58)),(IF(COUNTBLANK($E$14:$F$21)=16,"NA",1420*EXP(-0.00085*$D$72)*$D$57*$D$58))))))</f>
        <v>NA</v>
      </c>
      <c r="D127" s="703" t="str">
        <f>IF(COUNTBLANK($F$14:$F$21)=8,"NA",IF($D$48=2,(IF($D$49=1,(IF(COUNTBLANK($E$14:$F$21)=16,"NA",1420*EXP(-0.00091*$D$72)*$D$57*$D$58)),IF(COUNTBLANK($E$14:$F$21)=16,"NA",1420*EXP(-0.00085*$D$72)*$D$57*$D$58))),(IF($D$49=1,(IF(COUNTBLANK($E$14:$F$21)=16,"NA",1380*EXP(-0.00102*$D$72)*$D$57*$D$58)),(IF(COUNTBLANK($E$14:$F$21)=16,"NA",1420*EXP(-0.00085*$D$72)*$D$57*$D$58))))))</f>
        <v>NA</v>
      </c>
      <c r="E127" s="673" t="str">
        <f>IF(COUNTBLANK($I$14:$I$21)=8,"NA",IF($F$48=2,(IF($F$49=1,(IF(COUNTBLANK($I$14:$J$21)=16,"NA",1420*EXP(-0.00091*$F$72)*$F$57*$F$58)),IF(COUNTBLANK($I$14:$J$21)=16,"NA",1350*EXP(-0.00092*$F$72)*$F$57*$F$58))),(IF($F$49=1,(IF(COUNTBLANK($I$14:$J$21)=16,"NA",1380*EXP(-0.00102*$F$72)*$F$57*$F$58)),(IF(COUNTBLANK($I$14:$J$21)=16,"NA",1420*EXP(-0.00085*$F$72)*$F$57*$F$58))))))</f>
        <v>NA</v>
      </c>
      <c r="F127" s="673" t="str">
        <f>IF(COUNTBLANK($J$14:$J$21)=8,"NA",IF($F$48=2,(IF($F$49=1,(IF(COUNTBLANK($I$14:$J$21)=16,"NA",1420*EXP(-0.00091*$F$72)*$F$57*$F$58)),IF(COUNTBLANK($I$14:$J$21)=16,"NA",1420*EXP(-0.00085*$F$72)*$F$57*$F$58))),(IF($F$49=1,(IF(COUNTBLANK($I$14:$J$21)=16,"NA",1380*EXP(-0.00102*$F$72)*$F$57*$F$58)),(IF(COUNTBLANK($I$14:$J$21)=16,"NA",1420*EXP(-0.00085*$F$72)*$F$57*$F$58))))))</f>
        <v>NA</v>
      </c>
      <c r="G127" s="703" t="str">
        <f>IF(COUNTBLANK($E$25:$E$32)=8,"NA",IF($H$48=2,(IF($H$49=1,(IF(COUNTBLANK($E$25:$F$32)=16,"NA",1420*EXP(-0.00091*$H$72)*$H$57*$H$58)),IF(COUNTBLANK($E$25:$F$32)=16,"NA",1350*EXP(-0.00092*$H$72)*$H$57*$H$58))),(IF($H$49=1,(IF(COUNTBLANK($E$25:$F$32)=16,"NA",1380*EXP(-0.00102*$H$72)*$H$57*$H$58)),(IF(COUNTBLANK($E$25:$F$32)=16,"NA",1420*EXP(-0.00085*$H$72)*$H$57*$H$58))))))</f>
        <v>NA</v>
      </c>
      <c r="H127" s="703" t="str">
        <f>IF(COUNTBLANK($F$25:$F$32)=8,"NA",IF($H$48=2,(IF($H$49=1,(IF(COUNTBLANK($E$25:$F$32)=16,"NA",1420*EXP(-0.00091*$H$72)*$H$57*$H$58)),IF(COUNTBLANK($E$25:$F$32)=16,"NA",1420*EXP(-0.00085*$H$72)*$H$57*$H$58))),(IF($H$49=1,(IF(COUNTBLANK($E$25:$F$32)=16,"NA",1380*EXP(-0.00102*$H$72)*$H$57*$H$58)),(IF(COUNTBLANK($E$25:$F$32)=16,"NA",1420*EXP(-0.00085*$H$72)*$H$57*$H$58))))))</f>
        <v>NA</v>
      </c>
      <c r="I127" s="673" t="str">
        <f>IF(COUNTBLANK($I$25:$I$32)=8,"NA",IF($J$48=2,(IF($J$49=1,(IF(COUNTBLANK($I$25:$J$32)=16,"NA",1420*EXP(-0.00091*$J$72)*$J$57*$J$58)),IF(COUNTBLANK($I$25:$J$32)=16,"NA",1350*EXP(-0.00092*$J$72)*$J$57*$J$58))),(IF($J$49=1,(IF(COUNTBLANK($I$25:$J$32)=16,"NA",1380*EXP(-0.00102*$J$72)*$J$57*$J$58)),(IF(COUNTBLANK($I$25:$J$32)=16,"NA",1420*EXP(-0.00085*$J$72)*$J$57*$J$58))))))</f>
        <v>NA</v>
      </c>
      <c r="J127" s="678" t="str">
        <f>IF(COUNTBLANK($J$25:$J$32)=8,"NA",IF($J$48=2,(IF($J$49=1,(IF(COUNTBLANK($I$25:$J$32)=16,"NA",1420*EXP(-0.00091*$J$72)*$J$57*$J$58)),IF(COUNTBLANK($I$25:$J$32)=16,"NA",1420*EXP(-0.00085*$J$72)*$J$57*$J$58))),(IF($J$49=1,(IF(COUNTBLANK($I$25:$J$32)=16,"NA",1380*EXP(-0.00102*$J$72)*$J$57*$J$58)),(IF(COUNTBLANK($I$25:$J$32)=16,"NA",1420*EXP(-0.00085*$J$72)*$J$57*$J$58))))))</f>
        <v>NA</v>
      </c>
      <c r="S127" s="396"/>
      <c r="T127" s="396"/>
      <c r="U127" s="396"/>
      <c r="V127" s="396"/>
      <c r="W127" s="396"/>
      <c r="X127" s="396"/>
      <c r="Y127" s="396"/>
      <c r="Z127" s="396"/>
      <c r="AA127" s="397"/>
      <c r="AR127" s="363"/>
    </row>
    <row r="128" spans="1:44" s="382" customFormat="1" ht="15.75" thickBot="1" x14ac:dyDescent="0.3">
      <c r="A128" s="948" t="s">
        <v>272</v>
      </c>
      <c r="B128" s="949"/>
      <c r="C128" s="704">
        <f>IF(C127="NA",,D$70*D$57)</f>
        <v>0</v>
      </c>
      <c r="D128" s="704">
        <f>IF(D127="NA",,D$71*D$57)</f>
        <v>0</v>
      </c>
      <c r="E128" s="674">
        <f>IF(E127="NA",,F$70*F$57)</f>
        <v>0</v>
      </c>
      <c r="F128" s="674">
        <f>IF(F127="NA",,F$71*F$57)</f>
        <v>0</v>
      </c>
      <c r="G128" s="704">
        <f>IF(G127="NA",,H$70*H$57)</f>
        <v>0</v>
      </c>
      <c r="H128" s="704">
        <f>IF(H127="NA",,H$71*H$57)</f>
        <v>0</v>
      </c>
      <c r="I128" s="674">
        <f>IF(I127="NA",,J$70*J$57)</f>
        <v>0</v>
      </c>
      <c r="J128" s="679">
        <f>IF(J127="NA",,J$71*J$57)</f>
        <v>0</v>
      </c>
      <c r="S128" s="396"/>
      <c r="T128" s="396"/>
      <c r="U128" s="396"/>
      <c r="V128" s="396"/>
      <c r="W128" s="396"/>
      <c r="X128" s="396"/>
      <c r="Y128" s="396"/>
      <c r="Z128" s="396"/>
      <c r="AA128" s="397"/>
      <c r="AR128" s="363"/>
    </row>
    <row r="129" spans="1:44" s="382" customFormat="1" ht="15.75" thickTop="1" x14ac:dyDescent="0.25">
      <c r="A129" s="939" t="s">
        <v>203</v>
      </c>
      <c r="B129" s="940"/>
      <c r="C129" s="705">
        <f>IF(C127="NA",,C128/C127)</f>
        <v>0</v>
      </c>
      <c r="D129" s="705">
        <f t="shared" ref="D129:J129" si="61">IF(D127="NA",,D128/D127)</f>
        <v>0</v>
      </c>
      <c r="E129" s="675">
        <f t="shared" si="61"/>
        <v>0</v>
      </c>
      <c r="F129" s="675">
        <f t="shared" si="61"/>
        <v>0</v>
      </c>
      <c r="G129" s="705">
        <f t="shared" si="61"/>
        <v>0</v>
      </c>
      <c r="H129" s="705">
        <f t="shared" si="61"/>
        <v>0</v>
      </c>
      <c r="I129" s="675">
        <f t="shared" si="61"/>
        <v>0</v>
      </c>
      <c r="J129" s="713">
        <f t="shared" si="61"/>
        <v>0</v>
      </c>
      <c r="S129" s="396"/>
      <c r="T129" s="396"/>
      <c r="U129" s="396"/>
      <c r="V129" s="396"/>
      <c r="W129" s="396"/>
      <c r="X129" s="396"/>
      <c r="Y129" s="396"/>
      <c r="Z129" s="396"/>
      <c r="AA129" s="397"/>
      <c r="AR129" s="363"/>
    </row>
    <row r="130" spans="1:44" s="382" customFormat="1" x14ac:dyDescent="0.25">
      <c r="A130" s="939" t="s">
        <v>204</v>
      </c>
      <c r="B130" s="940"/>
      <c r="C130" s="706">
        <f t="shared" ref="C130:J130" si="62">IFERROR(3600/C127+900*0.25*(C129-1+SQRT((C129-1)^2+((3600/C127)*C129)/(450*0.25)))+(5*(MIN(C129,1))),)</f>
        <v>0</v>
      </c>
      <c r="D130" s="706">
        <f t="shared" si="62"/>
        <v>0</v>
      </c>
      <c r="E130" s="676">
        <f t="shared" si="62"/>
        <v>0</v>
      </c>
      <c r="F130" s="676">
        <f t="shared" si="62"/>
        <v>0</v>
      </c>
      <c r="G130" s="706">
        <f t="shared" si="62"/>
        <v>0</v>
      </c>
      <c r="H130" s="706">
        <f t="shared" si="62"/>
        <v>0</v>
      </c>
      <c r="I130" s="676">
        <f t="shared" si="62"/>
        <v>0</v>
      </c>
      <c r="J130" s="714">
        <f t="shared" si="62"/>
        <v>0</v>
      </c>
      <c r="S130" s="396"/>
      <c r="T130" s="396"/>
      <c r="U130" s="396"/>
      <c r="V130" s="396"/>
      <c r="W130" s="396"/>
      <c r="X130" s="396"/>
      <c r="Y130" s="396"/>
      <c r="Z130" s="396"/>
      <c r="AA130" s="397"/>
      <c r="AR130" s="363"/>
    </row>
    <row r="131" spans="1:44" s="382" customFormat="1" x14ac:dyDescent="0.25">
      <c r="A131" s="948" t="s">
        <v>85</v>
      </c>
      <c r="B131" s="949"/>
      <c r="C131" s="707" t="e">
        <f t="shared" ref="C131:J131" si="63">VLOOKUP(C130,$Y75:$Z80,2,TRUE)</f>
        <v>#N/A</v>
      </c>
      <c r="D131" s="707" t="e">
        <f t="shared" si="63"/>
        <v>#N/A</v>
      </c>
      <c r="E131" s="594" t="e">
        <f t="shared" si="63"/>
        <v>#N/A</v>
      </c>
      <c r="F131" s="594" t="e">
        <f t="shared" si="63"/>
        <v>#N/A</v>
      </c>
      <c r="G131" s="707" t="e">
        <f t="shared" si="63"/>
        <v>#N/A</v>
      </c>
      <c r="H131" s="707" t="e">
        <f t="shared" si="63"/>
        <v>#N/A</v>
      </c>
      <c r="I131" s="594" t="e">
        <f t="shared" si="63"/>
        <v>#N/A</v>
      </c>
      <c r="J131" s="680" t="e">
        <f t="shared" si="63"/>
        <v>#N/A</v>
      </c>
      <c r="S131" s="396"/>
      <c r="T131" s="396"/>
      <c r="U131" s="396"/>
      <c r="V131" s="396"/>
      <c r="W131" s="396"/>
      <c r="X131" s="396"/>
      <c r="Y131" s="396"/>
      <c r="Z131" s="396"/>
      <c r="AA131" s="397"/>
      <c r="AR131" s="363"/>
    </row>
    <row r="132" spans="1:44" s="382" customFormat="1" hidden="1" x14ac:dyDescent="0.25">
      <c r="A132" s="797"/>
      <c r="B132" s="583" t="s">
        <v>180</v>
      </c>
      <c r="C132" s="707" t="e">
        <f t="shared" ref="C132:J132" si="64">VLOOKUP(C130,$Y$66:$Z$71,2,TRUE)</f>
        <v>#N/A</v>
      </c>
      <c r="D132" s="707" t="e">
        <f t="shared" si="64"/>
        <v>#N/A</v>
      </c>
      <c r="E132" s="594" t="e">
        <f t="shared" si="64"/>
        <v>#N/A</v>
      </c>
      <c r="F132" s="594" t="e">
        <f t="shared" si="64"/>
        <v>#N/A</v>
      </c>
      <c r="G132" s="707" t="e">
        <f t="shared" si="64"/>
        <v>#N/A</v>
      </c>
      <c r="H132" s="707" t="e">
        <f t="shared" si="64"/>
        <v>#N/A</v>
      </c>
      <c r="I132" s="594" t="e">
        <f t="shared" si="64"/>
        <v>#N/A</v>
      </c>
      <c r="J132" s="680" t="e">
        <f t="shared" si="64"/>
        <v>#N/A</v>
      </c>
      <c r="S132" s="396"/>
      <c r="T132" s="396"/>
      <c r="U132" s="396"/>
      <c r="V132" s="396"/>
      <c r="W132" s="396"/>
      <c r="X132" s="396"/>
      <c r="Y132" s="396"/>
      <c r="Z132" s="396"/>
      <c r="AA132" s="397"/>
      <c r="AR132" s="363"/>
    </row>
    <row r="133" spans="1:44" s="591" customFormat="1" hidden="1" x14ac:dyDescent="0.25">
      <c r="A133" s="856"/>
      <c r="B133" s="760" t="s">
        <v>356</v>
      </c>
      <c r="C133" s="707">
        <f>C128*C130/3600</f>
        <v>0</v>
      </c>
      <c r="D133" s="707">
        <f t="shared" ref="D133:J133" si="65">D128*D130/3600</f>
        <v>0</v>
      </c>
      <c r="E133" s="594">
        <f t="shared" si="65"/>
        <v>0</v>
      </c>
      <c r="F133" s="594">
        <f t="shared" si="65"/>
        <v>0</v>
      </c>
      <c r="G133" s="707">
        <f t="shared" si="65"/>
        <v>0</v>
      </c>
      <c r="H133" s="707">
        <f t="shared" si="65"/>
        <v>0</v>
      </c>
      <c r="I133" s="594">
        <f t="shared" si="65"/>
        <v>0</v>
      </c>
      <c r="J133" s="680">
        <f t="shared" si="65"/>
        <v>0</v>
      </c>
      <c r="S133" s="595"/>
      <c r="T133" s="595"/>
      <c r="U133" s="595"/>
      <c r="V133" s="595"/>
      <c r="W133" s="595"/>
      <c r="X133" s="595"/>
      <c r="Y133" s="595"/>
      <c r="Z133" s="595"/>
      <c r="AA133" s="596"/>
      <c r="AR133" s="574"/>
    </row>
    <row r="134" spans="1:44" s="591" customFormat="1" x14ac:dyDescent="0.25">
      <c r="A134" s="939" t="s">
        <v>354</v>
      </c>
      <c r="B134" s="940"/>
      <c r="C134" s="707">
        <f t="shared" ref="C134:J134" si="66">ROUND(C133*$Q$59,)</f>
        <v>0</v>
      </c>
      <c r="D134" s="707">
        <f t="shared" si="66"/>
        <v>0</v>
      </c>
      <c r="E134" s="594">
        <f t="shared" si="66"/>
        <v>0</v>
      </c>
      <c r="F134" s="594">
        <f t="shared" si="66"/>
        <v>0</v>
      </c>
      <c r="G134" s="707">
        <f t="shared" si="66"/>
        <v>0</v>
      </c>
      <c r="H134" s="707">
        <f t="shared" si="66"/>
        <v>0</v>
      </c>
      <c r="I134" s="594">
        <f t="shared" si="66"/>
        <v>0</v>
      </c>
      <c r="J134" s="680">
        <f t="shared" si="66"/>
        <v>0</v>
      </c>
      <c r="L134" s="381" t="s">
        <v>205</v>
      </c>
      <c r="S134" s="595"/>
      <c r="T134" s="595"/>
      <c r="U134" s="595"/>
      <c r="V134" s="595"/>
      <c r="W134" s="595"/>
      <c r="X134" s="595"/>
      <c r="Y134" s="595"/>
      <c r="Z134" s="595"/>
      <c r="AA134" s="596"/>
      <c r="AR134" s="574"/>
    </row>
    <row r="135" spans="1:44" s="382" customFormat="1" hidden="1" x14ac:dyDescent="0.25">
      <c r="A135" s="797"/>
      <c r="B135" s="662" t="s">
        <v>133</v>
      </c>
      <c r="C135" s="597" t="e">
        <f>225*(C$129-1+SQRT((1-C$129)^2+((3600/C$127)*C$129/37.5)))*(C$127/3600)</f>
        <v>#VALUE!</v>
      </c>
      <c r="D135" s="597" t="e">
        <f t="shared" ref="D135:J135" si="67">225*(D$129-1+SQRT((1-D$129)^2+((3600/D$127)*D$129/37.5)))*(D$127/3600)</f>
        <v>#VALUE!</v>
      </c>
      <c r="E135" s="597" t="e">
        <f t="shared" si="67"/>
        <v>#VALUE!</v>
      </c>
      <c r="F135" s="597" t="e">
        <f t="shared" si="67"/>
        <v>#VALUE!</v>
      </c>
      <c r="G135" s="597" t="e">
        <f t="shared" si="67"/>
        <v>#VALUE!</v>
      </c>
      <c r="H135" s="597" t="e">
        <f t="shared" si="67"/>
        <v>#VALUE!</v>
      </c>
      <c r="I135" s="597" t="e">
        <f t="shared" si="67"/>
        <v>#VALUE!</v>
      </c>
      <c r="J135" s="607" t="e">
        <f t="shared" si="67"/>
        <v>#VALUE!</v>
      </c>
      <c r="L135" s="576"/>
      <c r="S135" s="396"/>
      <c r="T135" s="396"/>
      <c r="U135" s="396"/>
      <c r="V135" s="396"/>
      <c r="W135" s="396"/>
      <c r="X135" s="396"/>
      <c r="Y135" s="396"/>
      <c r="Z135" s="396"/>
      <c r="AA135" s="397"/>
      <c r="AR135" s="363"/>
    </row>
    <row r="136" spans="1:44" s="382" customFormat="1" x14ac:dyDescent="0.25">
      <c r="A136" s="939" t="s">
        <v>138</v>
      </c>
      <c r="B136" s="940"/>
      <c r="C136" s="606" t="e">
        <f>(C135*($Q$59/D$57))</f>
        <v>#VALUE!</v>
      </c>
      <c r="D136" s="606" t="e">
        <f t="shared" ref="D136" si="68">(D135*($Q$59/D$57))</f>
        <v>#VALUE!</v>
      </c>
      <c r="E136" s="683" t="e">
        <f>(E135*($Q$59/F$57))</f>
        <v>#VALUE!</v>
      </c>
      <c r="F136" s="683" t="e">
        <f t="shared" ref="F136" si="69">(F135*($Q$59/F$57))</f>
        <v>#VALUE!</v>
      </c>
      <c r="G136" s="606" t="e">
        <f>(G135*($Q$59/H$57))</f>
        <v>#VALUE!</v>
      </c>
      <c r="H136" s="606" t="e">
        <f t="shared" ref="H136" si="70">(H135*($Q$59/H$57))</f>
        <v>#VALUE!</v>
      </c>
      <c r="I136" s="683" t="e">
        <f>(I135*($Q$59/J$57))</f>
        <v>#VALUE!</v>
      </c>
      <c r="J136" s="572" t="e">
        <f t="shared" ref="J136" si="71">(J135*($Q$59/J$57))</f>
        <v>#VALUE!</v>
      </c>
      <c r="L136" s="366" t="s">
        <v>206</v>
      </c>
      <c r="S136" s="396"/>
      <c r="T136" s="396"/>
      <c r="U136" s="396"/>
      <c r="V136" s="396"/>
      <c r="W136" s="396"/>
      <c r="X136" s="396"/>
      <c r="Y136" s="396"/>
      <c r="Z136" s="396"/>
      <c r="AA136" s="397"/>
      <c r="AR136" s="363"/>
    </row>
    <row r="137" spans="1:44" s="382" customFormat="1" hidden="1" x14ac:dyDescent="0.25">
      <c r="A137" s="797"/>
      <c r="B137" s="693" t="s">
        <v>314</v>
      </c>
      <c r="C137" s="708">
        <f>IFERROR(HLOOKUP("NE (2)",$E$157:$J$186,26,FALSE),0)</f>
        <v>0</v>
      </c>
      <c r="D137" s="709"/>
      <c r="E137" s="694">
        <f>IFERROR(HLOOKUP("SE (4)",$E$157:$J$186,26,FALSE),0)</f>
        <v>0</v>
      </c>
      <c r="F137" s="699"/>
      <c r="G137" s="708">
        <f>IFERROR(HLOOKUP("SW (5)",$E$157:$J$186,26,FALSE),0)</f>
        <v>0</v>
      </c>
      <c r="H137" s="709"/>
      <c r="I137" s="694">
        <f>IFERROR(HLOOKUP("NW (8)",$E$157:$J$186,26,FALSE),0)</f>
        <v>0</v>
      </c>
      <c r="J137" s="700"/>
      <c r="S137" s="396"/>
      <c r="T137" s="396"/>
      <c r="U137" s="396"/>
      <c r="V137" s="396"/>
      <c r="W137" s="396"/>
      <c r="X137" s="396"/>
      <c r="Y137" s="396"/>
      <c r="Z137" s="396"/>
      <c r="AA137" s="397"/>
      <c r="AR137" s="363"/>
    </row>
    <row r="138" spans="1:44" s="382" customFormat="1" hidden="1" x14ac:dyDescent="0.25">
      <c r="A138" s="797"/>
      <c r="B138" s="693" t="s">
        <v>315</v>
      </c>
      <c r="C138" s="708">
        <f>IFERROR(HLOOKUP("NE (2)",$E$157:$J$186,24,FALSE),0)</f>
        <v>0</v>
      </c>
      <c r="D138" s="709"/>
      <c r="E138" s="694">
        <f>IFERROR(HLOOKUP("SE (4)",$E$157:$J$186,24,FALSE),0)</f>
        <v>0</v>
      </c>
      <c r="F138" s="699"/>
      <c r="G138" s="708">
        <f>IFERROR(HLOOKUP("SW (5)",$E$157:$J$186,24,FALSE),0)</f>
        <v>0</v>
      </c>
      <c r="H138" s="709"/>
      <c r="I138" s="694">
        <f>IFERROR(HLOOKUP("NW (8)",$E$157:$J$186,26,FALSE),0)</f>
        <v>0</v>
      </c>
      <c r="J138" s="702"/>
      <c r="S138" s="396"/>
      <c r="T138" s="396"/>
      <c r="U138" s="396"/>
      <c r="V138" s="396"/>
      <c r="W138" s="396"/>
      <c r="X138" s="396"/>
      <c r="Y138" s="396"/>
      <c r="Z138" s="396"/>
      <c r="AA138" s="397"/>
      <c r="AR138" s="363"/>
    </row>
    <row r="139" spans="1:44" s="382" customFormat="1" hidden="1" x14ac:dyDescent="0.25">
      <c r="A139" s="973" t="s">
        <v>309</v>
      </c>
      <c r="B139" s="974"/>
      <c r="C139" s="1018" t="e">
        <f>IF(C128="NA",IF(D128="NA"," ",((D130*D128)+(C137*C138))/(D128+C138)),IF(D128="NA",((C130*C128)+(C137*C138))/(C128+C138),(((C130*C128)+(D130*D128)+(C137*C138)))/(C128+D128+C138)))</f>
        <v>#DIV/0!</v>
      </c>
      <c r="D139" s="1019"/>
      <c r="E139" s="1016" t="e">
        <f t="shared" ref="E139" si="72">IF(E128="NA",IF(F128="NA"," ",((F130*F128)+(E137*E138))/(F128+E138)),IF(F128="NA",((E130*E128)+(E137*E138))/(E128+E138),(((E130*E128)+(F130*F128)+(E137*E138)))/(E128+F128+E138)))</f>
        <v>#DIV/0!</v>
      </c>
      <c r="F139" s="1017"/>
      <c r="G139" s="1018" t="e">
        <f t="shared" ref="G139" si="73">IF(G128="NA",IF(H128="NA"," ",((H130*H128)+(G137*G138))/(H128+G138)),IF(H128="NA",((G130*G128)+(G137*G138))/(G128+G138),(((G130*G128)+(H130*H128)+(G137*G138)))/(G128+H128+G138)))</f>
        <v>#DIV/0!</v>
      </c>
      <c r="H139" s="1019"/>
      <c r="I139" s="1016" t="e">
        <f t="shared" ref="I139" si="74">IF(I128="NA",IF(J128="NA"," ",((J130*J128)+(I137*I138))/(J128+I138)),IF(J128="NA",((I130*I128)+(I137*I138))/(I128+I138),(((I130*I128)+(J130*J128)+(I137*I138)))/(I128+J128+I138)))</f>
        <v>#DIV/0!</v>
      </c>
      <c r="J139" s="1041"/>
      <c r="S139" s="396"/>
      <c r="T139" s="396"/>
      <c r="U139" s="396"/>
      <c r="V139" s="396"/>
      <c r="W139" s="396"/>
      <c r="X139" s="396"/>
      <c r="Y139" s="396"/>
      <c r="Z139" s="396"/>
      <c r="AA139" s="397"/>
      <c r="AR139" s="363"/>
    </row>
    <row r="140" spans="1:44" s="591" customFormat="1" hidden="1" x14ac:dyDescent="0.25">
      <c r="A140" s="799"/>
      <c r="B140" s="800"/>
      <c r="C140" s="857" t="e">
        <f>ROUND(C139,1)</f>
        <v>#DIV/0!</v>
      </c>
      <c r="D140" s="858"/>
      <c r="E140" s="852" t="e">
        <f>ROUND(E139,1)</f>
        <v>#DIV/0!</v>
      </c>
      <c r="F140" s="573"/>
      <c r="G140" s="851" t="e">
        <f>ROUND(G139,1)</f>
        <v>#DIV/0!</v>
      </c>
      <c r="H140" s="720"/>
      <c r="I140" s="852" t="e">
        <f>ROUND(I139,1)</f>
        <v>#DIV/0!</v>
      </c>
      <c r="J140" s="853"/>
      <c r="S140" s="595"/>
      <c r="T140" s="595"/>
      <c r="U140" s="595"/>
      <c r="V140" s="595"/>
      <c r="W140" s="595"/>
      <c r="X140" s="595"/>
      <c r="Y140" s="595"/>
      <c r="Z140" s="595"/>
      <c r="AA140" s="596"/>
      <c r="AR140" s="574"/>
    </row>
    <row r="141" spans="1:44" s="382" customFormat="1" hidden="1" x14ac:dyDescent="0.25">
      <c r="A141" s="973" t="s">
        <v>310</v>
      </c>
      <c r="B141" s="974"/>
      <c r="C141" s="989" t="e">
        <f t="shared" ref="C141" si="75">VLOOKUP(C139,$Y$59:$Z$64,2,TRUE)</f>
        <v>#DIV/0!</v>
      </c>
      <c r="D141" s="990"/>
      <c r="E141" s="1034" t="e">
        <f t="shared" ref="E141" si="76">VLOOKUP(E139,$Y$59:$Z$64,2,TRUE)</f>
        <v>#DIV/0!</v>
      </c>
      <c r="F141" s="1036"/>
      <c r="G141" s="989" t="e">
        <f t="shared" ref="G141" si="77">VLOOKUP(G139,$Y$59:$Z$64,2,TRUE)</f>
        <v>#DIV/0!</v>
      </c>
      <c r="H141" s="990"/>
      <c r="I141" s="1034" t="e">
        <f t="shared" ref="I141" si="78">VLOOKUP(I139,$Y$59:$Z$64,2,TRUE)</f>
        <v>#DIV/0!</v>
      </c>
      <c r="J141" s="1035"/>
      <c r="S141" s="396"/>
      <c r="T141" s="396"/>
      <c r="U141" s="396"/>
      <c r="V141" s="396"/>
      <c r="W141" s="396"/>
      <c r="X141" s="396"/>
      <c r="Y141" s="396"/>
      <c r="Z141" s="396"/>
      <c r="AA141" s="397"/>
      <c r="AR141" s="363"/>
    </row>
    <row r="142" spans="1:44" s="382" customFormat="1" x14ac:dyDescent="0.25">
      <c r="A142" s="973" t="s">
        <v>331</v>
      </c>
      <c r="B142" s="974"/>
      <c r="C142" s="994" t="e">
        <f>C140&amp;" sec, LOS "&amp;C141</f>
        <v>#DIV/0!</v>
      </c>
      <c r="D142" s="992"/>
      <c r="E142" s="989" t="e">
        <f>E140&amp;" sec, LOS "&amp;E141</f>
        <v>#DIV/0!</v>
      </c>
      <c r="F142" s="990"/>
      <c r="G142" s="991" t="e">
        <f>G140&amp;" sec, LOS "&amp;G141</f>
        <v>#DIV/0!</v>
      </c>
      <c r="H142" s="992"/>
      <c r="I142" s="989" t="e">
        <f>I140&amp;" sec, LOS "&amp;I141</f>
        <v>#DIV/0!</v>
      </c>
      <c r="J142" s="995"/>
      <c r="L142" s="591"/>
      <c r="S142" s="396"/>
      <c r="T142" s="396"/>
      <c r="U142" s="396"/>
      <c r="V142" s="396"/>
      <c r="W142" s="396"/>
      <c r="X142" s="396"/>
      <c r="Y142" s="396"/>
      <c r="Z142" s="396"/>
      <c r="AA142" s="397"/>
      <c r="AR142" s="363"/>
    </row>
    <row r="143" spans="1:44" s="591" customFormat="1" ht="4.9000000000000004" customHeight="1" x14ac:dyDescent="0.25">
      <c r="A143" s="870"/>
      <c r="B143" s="878"/>
      <c r="C143" s="880"/>
      <c r="D143" s="879"/>
      <c r="E143" s="879"/>
      <c r="F143" s="879"/>
      <c r="G143" s="879"/>
      <c r="H143" s="879"/>
      <c r="I143" s="879"/>
      <c r="J143" s="881"/>
      <c r="S143" s="595"/>
      <c r="T143" s="595"/>
      <c r="U143" s="595"/>
      <c r="V143" s="595"/>
      <c r="W143" s="595"/>
      <c r="X143" s="595"/>
      <c r="Y143" s="595"/>
      <c r="Z143" s="595"/>
      <c r="AA143" s="596"/>
      <c r="AR143" s="574"/>
    </row>
    <row r="144" spans="1:44" s="591" customFormat="1" ht="15.75" thickBot="1" x14ac:dyDescent="0.3">
      <c r="A144" s="941" t="s">
        <v>357</v>
      </c>
      <c r="B144" s="942"/>
      <c r="C144" s="942"/>
      <c r="D144" s="942"/>
      <c r="E144" s="942"/>
      <c r="F144" s="942"/>
      <c r="G144" s="942"/>
      <c r="H144" s="942"/>
      <c r="I144" s="942"/>
      <c r="J144" s="943"/>
      <c r="P144" s="595"/>
      <c r="Q144" s="595"/>
      <c r="R144" s="595"/>
      <c r="S144" s="595"/>
      <c r="T144" s="595"/>
      <c r="U144" s="595"/>
      <c r="V144" s="595"/>
      <c r="W144" s="596"/>
    </row>
    <row r="145" spans="1:44" s="591" customFormat="1" ht="15.75" thickTop="1" x14ac:dyDescent="0.25">
      <c r="A145" s="882" t="s">
        <v>355</v>
      </c>
      <c r="B145" s="883"/>
      <c r="C145" s="957" t="e">
        <f>(SUMPRODUCT(C110:J110,C112:J112)+SUMPRODUCT(C128:J128,C130:J130))/SUM(C110:J110,C128:J128)</f>
        <v>#DIV/0!</v>
      </c>
      <c r="D145" s="958"/>
      <c r="E145" s="871" t="s">
        <v>358</v>
      </c>
      <c r="F145" s="959" t="e">
        <f>VLOOKUP(C145,$Y59:$Z64,2,TRUE)</f>
        <v>#DIV/0!</v>
      </c>
      <c r="G145" s="960"/>
      <c r="H145" s="871" t="s">
        <v>359</v>
      </c>
      <c r="I145" s="872"/>
      <c r="J145" s="635">
        <f>MAXA(C111:J111,C129:J129)</f>
        <v>0</v>
      </c>
      <c r="S145" s="595"/>
      <c r="T145" s="595"/>
      <c r="U145" s="595"/>
      <c r="V145" s="595"/>
      <c r="W145" s="595"/>
      <c r="X145" s="595"/>
      <c r="Y145" s="595"/>
      <c r="Z145" s="595"/>
      <c r="AA145" s="596"/>
      <c r="AR145" s="574"/>
    </row>
    <row r="146" spans="1:44" s="382" customFormat="1" x14ac:dyDescent="0.25">
      <c r="A146" s="580" t="s">
        <v>149</v>
      </c>
      <c r="B146" s="575"/>
      <c r="C146" s="575"/>
      <c r="D146" s="575"/>
      <c r="E146" s="575"/>
      <c r="F146" s="575"/>
      <c r="G146" s="575"/>
      <c r="H146" s="575"/>
      <c r="I146" s="575"/>
      <c r="J146" s="729" t="str">
        <f>'START HERE'!H2</f>
        <v>v 4.2</v>
      </c>
      <c r="L146" s="591"/>
      <c r="S146" s="396"/>
      <c r="T146" s="396"/>
      <c r="U146" s="396"/>
      <c r="V146" s="396"/>
      <c r="W146" s="396"/>
      <c r="X146" s="396"/>
      <c r="Y146" s="396"/>
      <c r="Z146" s="396"/>
      <c r="AA146" s="397"/>
      <c r="AR146" s="363"/>
    </row>
    <row r="147" spans="1:44" s="382" customFormat="1" x14ac:dyDescent="0.25">
      <c r="A147" s="580"/>
      <c r="B147" s="665"/>
      <c r="C147" s="665"/>
      <c r="D147" s="665"/>
      <c r="E147" s="665"/>
      <c r="F147" s="665"/>
      <c r="G147" s="575"/>
      <c r="H147" s="575"/>
      <c r="I147" s="575"/>
      <c r="J147" s="729"/>
      <c r="L147" s="591"/>
      <c r="S147" s="396"/>
      <c r="T147" s="396"/>
      <c r="U147" s="396"/>
      <c r="V147" s="396"/>
      <c r="W147" s="396"/>
      <c r="X147" s="396"/>
      <c r="Y147" s="396"/>
      <c r="Z147" s="396"/>
      <c r="AA147" s="397"/>
      <c r="AR147" s="363"/>
    </row>
    <row r="148" spans="1:44" s="382" customFormat="1" x14ac:dyDescent="0.25">
      <c r="A148" s="580"/>
      <c r="B148" s="665"/>
      <c r="C148" s="665"/>
      <c r="D148" s="665"/>
      <c r="E148" s="665"/>
      <c r="F148" s="665"/>
      <c r="G148" s="575"/>
      <c r="H148" s="575"/>
      <c r="I148" s="575"/>
      <c r="J148" s="579"/>
      <c r="L148" s="591"/>
      <c r="S148" s="396"/>
      <c r="T148" s="396"/>
      <c r="U148" s="396"/>
      <c r="V148" s="396"/>
      <c r="W148" s="396"/>
      <c r="X148" s="396"/>
      <c r="Y148" s="396"/>
      <c r="Z148" s="396"/>
      <c r="AA148" s="397"/>
      <c r="AR148" s="363"/>
    </row>
    <row r="149" spans="1:44" s="382" customFormat="1" ht="15" customHeight="1" x14ac:dyDescent="0.25">
      <c r="A149" s="645"/>
      <c r="B149" s="811"/>
      <c r="C149" s="811"/>
      <c r="D149" s="811"/>
      <c r="E149" s="811"/>
      <c r="F149" s="811"/>
      <c r="G149" s="727"/>
      <c r="H149" s="727"/>
      <c r="I149" s="727"/>
      <c r="J149" s="660"/>
      <c r="S149" s="396"/>
      <c r="T149" s="396"/>
      <c r="U149" s="396"/>
      <c r="V149" s="396"/>
      <c r="W149" s="396"/>
      <c r="X149" s="396"/>
      <c r="Y149" s="396"/>
      <c r="Z149" s="396"/>
      <c r="AA149" s="397"/>
      <c r="AR149" s="363"/>
    </row>
    <row r="150" spans="1:44" s="382" customFormat="1" ht="15.75" customHeight="1" x14ac:dyDescent="0.25">
      <c r="A150" s="645"/>
      <c r="B150" s="727"/>
      <c r="C150" s="727"/>
      <c r="D150" s="727"/>
      <c r="E150" s="727"/>
      <c r="F150" s="727"/>
      <c r="G150" s="727"/>
      <c r="H150" s="727"/>
      <c r="I150" s="727"/>
      <c r="J150" s="660"/>
      <c r="S150" s="396"/>
      <c r="T150" s="396"/>
      <c r="U150" s="396"/>
      <c r="V150" s="396"/>
      <c r="W150" s="396"/>
      <c r="X150" s="396"/>
      <c r="Y150" s="396"/>
      <c r="Z150" s="396"/>
      <c r="AA150" s="397"/>
    </row>
    <row r="151" spans="1:44" s="382" customFormat="1" x14ac:dyDescent="0.25">
      <c r="A151" s="645"/>
      <c r="B151" s="651"/>
      <c r="C151" s="651"/>
      <c r="D151" s="651"/>
      <c r="E151" s="651"/>
      <c r="F151" s="651"/>
      <c r="G151" s="651"/>
      <c r="H151" s="727"/>
      <c r="I151" s="727"/>
      <c r="J151" s="821"/>
      <c r="S151" s="396"/>
      <c r="T151" s="396"/>
      <c r="U151" s="396"/>
      <c r="V151" s="396"/>
      <c r="W151" s="396"/>
      <c r="X151" s="396"/>
      <c r="Y151" s="396"/>
      <c r="Z151" s="396"/>
      <c r="AA151" s="397"/>
    </row>
    <row r="152" spans="1:44" s="382" customFormat="1" x14ac:dyDescent="0.25">
      <c r="A152" s="645"/>
      <c r="B152" s="641"/>
      <c r="C152" s="641"/>
      <c r="D152" s="641"/>
      <c r="E152" s="650"/>
      <c r="F152" s="650"/>
      <c r="G152" s="650"/>
      <c r="H152" s="727"/>
      <c r="I152" s="650"/>
      <c r="J152" s="822"/>
      <c r="S152" s="396"/>
      <c r="T152" s="396"/>
      <c r="U152" s="396"/>
      <c r="V152" s="396"/>
      <c r="W152" s="396"/>
      <c r="X152" s="396"/>
      <c r="Y152" s="396"/>
      <c r="Z152" s="396"/>
      <c r="AA152" s="397"/>
    </row>
    <row r="153" spans="1:44" s="382" customFormat="1" x14ac:dyDescent="0.25">
      <c r="A153" s="645"/>
      <c r="B153" s="652"/>
      <c r="C153" s="652"/>
      <c r="D153" s="652"/>
      <c r="E153" s="653"/>
      <c r="F153" s="653"/>
      <c r="G153" s="653"/>
      <c r="H153" s="653"/>
      <c r="I153" s="653"/>
      <c r="J153" s="823"/>
    </row>
    <row r="154" spans="1:44" s="382" customFormat="1" ht="15.75" thickBot="1" x14ac:dyDescent="0.3">
      <c r="A154" s="986" t="s">
        <v>216</v>
      </c>
      <c r="B154" s="987"/>
      <c r="C154" s="987"/>
      <c r="D154" s="987"/>
      <c r="E154" s="987"/>
      <c r="F154" s="987"/>
      <c r="G154" s="987"/>
      <c r="H154" s="987"/>
      <c r="I154" s="987"/>
      <c r="J154" s="988"/>
      <c r="Q154" s="455"/>
    </row>
    <row r="155" spans="1:44" s="382" customFormat="1" ht="15.75" thickTop="1" x14ac:dyDescent="0.25">
      <c r="A155" s="567"/>
      <c r="B155" s="610"/>
      <c r="C155" s="610"/>
      <c r="D155" s="610"/>
      <c r="E155" s="1068" t="s">
        <v>172</v>
      </c>
      <c r="F155" s="1068" t="s">
        <v>176</v>
      </c>
      <c r="G155" s="1068" t="s">
        <v>177</v>
      </c>
      <c r="H155" s="1068" t="s">
        <v>178</v>
      </c>
      <c r="I155" s="955" t="s">
        <v>179</v>
      </c>
      <c r="J155" s="1066" t="s">
        <v>188</v>
      </c>
    </row>
    <row r="156" spans="1:44" s="382" customFormat="1" x14ac:dyDescent="0.25">
      <c r="A156" s="970" t="s">
        <v>174</v>
      </c>
      <c r="B156" s="971"/>
      <c r="C156" s="971"/>
      <c r="D156" s="972"/>
      <c r="E156" s="956"/>
      <c r="F156" s="956"/>
      <c r="G156" s="956"/>
      <c r="H156" s="956"/>
      <c r="I156" s="956"/>
      <c r="J156" s="1067"/>
    </row>
    <row r="157" spans="1:44" s="382" customFormat="1" x14ac:dyDescent="0.25">
      <c r="A157" s="948" t="s">
        <v>183</v>
      </c>
      <c r="B157" s="1055"/>
      <c r="C157" s="1055"/>
      <c r="D157" s="949"/>
      <c r="E157" s="639"/>
      <c r="F157" s="639"/>
      <c r="G157" s="639"/>
      <c r="H157" s="639"/>
      <c r="I157" s="639"/>
      <c r="J157" s="656"/>
    </row>
    <row r="158" spans="1:44" s="382" customFormat="1" x14ac:dyDescent="0.25">
      <c r="A158" s="948" t="s">
        <v>173</v>
      </c>
      <c r="B158" s="1055"/>
      <c r="C158" s="1055"/>
      <c r="D158" s="949"/>
      <c r="E158" s="639"/>
      <c r="F158" s="639"/>
      <c r="G158" s="639"/>
      <c r="H158" s="639"/>
      <c r="I158" s="639"/>
      <c r="J158" s="656"/>
    </row>
    <row r="159" spans="1:44" s="382" customFormat="1" x14ac:dyDescent="0.25">
      <c r="A159" s="701" t="s">
        <v>313</v>
      </c>
      <c r="B159" s="701"/>
      <c r="C159" s="794"/>
      <c r="D159" s="794"/>
      <c r="E159" s="639"/>
      <c r="F159" s="639"/>
      <c r="G159" s="639"/>
      <c r="H159" s="639"/>
      <c r="I159" s="639"/>
      <c r="J159" s="657"/>
    </row>
    <row r="160" spans="1:44" s="382" customFormat="1" ht="15" customHeight="1" x14ac:dyDescent="0.25">
      <c r="A160" s="1056" t="s">
        <v>288</v>
      </c>
      <c r="B160" s="1057"/>
      <c r="C160" s="1057"/>
      <c r="D160" s="1058"/>
      <c r="E160" s="617">
        <v>2</v>
      </c>
      <c r="F160" s="617">
        <v>2</v>
      </c>
      <c r="G160" s="617">
        <v>2</v>
      </c>
      <c r="H160" s="617">
        <v>2</v>
      </c>
      <c r="I160" s="617">
        <v>2</v>
      </c>
      <c r="J160" s="618">
        <v>2</v>
      </c>
    </row>
    <row r="161" spans="1:10" s="382" customFormat="1" x14ac:dyDescent="0.25">
      <c r="A161" s="636" t="s">
        <v>1</v>
      </c>
      <c r="B161" s="611"/>
      <c r="C161" s="611"/>
      <c r="D161" s="611"/>
      <c r="E161" s="611"/>
      <c r="F161" s="611"/>
      <c r="G161" s="611"/>
      <c r="H161" s="611"/>
      <c r="I161" s="611"/>
      <c r="J161" s="614"/>
    </row>
    <row r="162" spans="1:10" s="382" customFormat="1" ht="15" customHeight="1" x14ac:dyDescent="0.25">
      <c r="A162" s="645" t="s">
        <v>214</v>
      </c>
      <c r="B162" s="645"/>
      <c r="C162" s="727"/>
      <c r="D162" s="727"/>
      <c r="E162" s="581"/>
      <c r="F162" s="581"/>
      <c r="G162" s="581"/>
      <c r="H162" s="581"/>
      <c r="I162" s="581"/>
      <c r="J162" s="582"/>
    </row>
    <row r="163" spans="1:10" s="382" customFormat="1" ht="15" customHeight="1" x14ac:dyDescent="0.25">
      <c r="A163" s="645" t="s">
        <v>213</v>
      </c>
      <c r="B163" s="645"/>
      <c r="C163" s="727"/>
      <c r="D163" s="727"/>
      <c r="E163" s="581"/>
      <c r="F163" s="581"/>
      <c r="G163" s="581"/>
      <c r="H163" s="581"/>
      <c r="I163" s="581"/>
      <c r="J163" s="582"/>
    </row>
    <row r="164" spans="1:10" s="382" customFormat="1" x14ac:dyDescent="0.25">
      <c r="A164" s="661" t="s">
        <v>297</v>
      </c>
      <c r="B164" s="661"/>
      <c r="C164" s="727"/>
      <c r="D164" s="727"/>
      <c r="E164" s="1099" t="str">
        <f t="shared" ref="E164:J164" si="79">IF(E163="default",VLOOKUP(E158,$AK52:$AM59,2,FALSE),(IF(E163="HCM",VLOOKUP(E158,$AK52:$AM59,3,FALSE)," ")))</f>
        <v xml:space="preserve"> </v>
      </c>
      <c r="F164" s="1099" t="str">
        <f t="shared" si="79"/>
        <v xml:space="preserve"> </v>
      </c>
      <c r="G164" s="1099" t="str">
        <f t="shared" si="79"/>
        <v xml:space="preserve"> </v>
      </c>
      <c r="H164" s="1099" t="str">
        <f t="shared" si="79"/>
        <v xml:space="preserve"> </v>
      </c>
      <c r="I164" s="1099" t="str">
        <f t="shared" si="79"/>
        <v xml:space="preserve"> </v>
      </c>
      <c r="J164" s="1100" t="str">
        <f t="shared" si="79"/>
        <v xml:space="preserve"> </v>
      </c>
    </row>
    <row r="165" spans="1:10" s="382" customFormat="1" ht="30" customHeight="1" x14ac:dyDescent="0.25">
      <c r="A165" s="981" t="s">
        <v>126</v>
      </c>
      <c r="B165" s="982"/>
      <c r="C165" s="982"/>
      <c r="D165" s="983"/>
      <c r="E165" s="1101" t="str">
        <f>IF(E163="manual", 0,"N/A")</f>
        <v>N/A</v>
      </c>
      <c r="F165" s="1101" t="str">
        <f t="shared" ref="F165:J165" si="80">IF(F163="manual", 0,"N/A")</f>
        <v>N/A</v>
      </c>
      <c r="G165" s="1101" t="str">
        <f t="shared" si="80"/>
        <v>N/A</v>
      </c>
      <c r="H165" s="1101" t="str">
        <f t="shared" si="80"/>
        <v>N/A</v>
      </c>
      <c r="I165" s="1101" t="str">
        <f t="shared" si="80"/>
        <v>N/A</v>
      </c>
      <c r="J165" s="1102" t="str">
        <f t="shared" si="80"/>
        <v>N/A</v>
      </c>
    </row>
    <row r="166" spans="1:10" s="382" customFormat="1" ht="30" customHeight="1" x14ac:dyDescent="0.25">
      <c r="A166" s="917" t="s">
        <v>127</v>
      </c>
      <c r="B166" s="984"/>
      <c r="C166" s="984"/>
      <c r="D166" s="985"/>
      <c r="E166" s="1101" t="str">
        <f t="shared" ref="E166:J166" si="81">IF(E163="manual", 0,"N/A")</f>
        <v>N/A</v>
      </c>
      <c r="F166" s="1101" t="str">
        <f t="shared" si="81"/>
        <v>N/A</v>
      </c>
      <c r="G166" s="1101" t="str">
        <f t="shared" si="81"/>
        <v>N/A</v>
      </c>
      <c r="H166" s="1101" t="str">
        <f t="shared" si="81"/>
        <v>N/A</v>
      </c>
      <c r="I166" s="1101" t="str">
        <f t="shared" si="81"/>
        <v>N/A</v>
      </c>
      <c r="J166" s="1102" t="str">
        <f t="shared" si="81"/>
        <v>N/A</v>
      </c>
    </row>
    <row r="167" spans="1:10" s="382" customFormat="1" x14ac:dyDescent="0.25">
      <c r="A167" s="661" t="s">
        <v>201</v>
      </c>
      <c r="B167" s="727"/>
      <c r="C167" s="727"/>
      <c r="D167" s="727"/>
      <c r="E167" s="1103" t="e">
        <f>IF(E165&gt;E166,(E165/(E172*E173)),(E166/(E172*E173)))</f>
        <v>#VALUE!</v>
      </c>
      <c r="F167" s="1103" t="e">
        <f t="shared" ref="F167:J167" si="82">IF(F165&gt;F166,(F165/(F172*F173)),(F166/(F172*F173)))</f>
        <v>#VALUE!</v>
      </c>
      <c r="G167" s="1103" t="e">
        <f t="shared" si="82"/>
        <v>#VALUE!</v>
      </c>
      <c r="H167" s="1103" t="e">
        <f t="shared" si="82"/>
        <v>#VALUE!</v>
      </c>
      <c r="I167" s="1103" t="e">
        <f t="shared" si="82"/>
        <v>#VALUE!</v>
      </c>
      <c r="J167" s="1104" t="e">
        <f t="shared" si="82"/>
        <v>#VALUE!</v>
      </c>
    </row>
    <row r="168" spans="1:10" s="382" customFormat="1" x14ac:dyDescent="0.25">
      <c r="A168" s="637" t="s">
        <v>197</v>
      </c>
      <c r="B168" s="593"/>
      <c r="C168" s="593"/>
      <c r="D168" s="593"/>
      <c r="E168" s="593"/>
      <c r="F168" s="593"/>
      <c r="G168" s="593"/>
      <c r="H168" s="593"/>
      <c r="I168" s="593"/>
      <c r="J168" s="621"/>
    </row>
    <row r="169" spans="1:10" s="382" customFormat="1" x14ac:dyDescent="0.25">
      <c r="A169" s="797" t="s">
        <v>196</v>
      </c>
      <c r="B169" s="727"/>
      <c r="C169" s="727"/>
      <c r="D169" s="727"/>
      <c r="E169" s="1105" t="e">
        <f t="shared" ref="E169:J169" si="83">HLOOKUP(E157,$AA20:$AH30,10,FALSE)</f>
        <v>#N/A</v>
      </c>
      <c r="F169" s="1105" t="e">
        <f t="shared" si="83"/>
        <v>#N/A</v>
      </c>
      <c r="G169" s="1105" t="e">
        <f t="shared" si="83"/>
        <v>#N/A</v>
      </c>
      <c r="H169" s="1105" t="e">
        <f t="shared" si="83"/>
        <v>#N/A</v>
      </c>
      <c r="I169" s="1105" t="e">
        <f t="shared" si="83"/>
        <v>#N/A</v>
      </c>
      <c r="J169" s="1106" t="e">
        <f t="shared" si="83"/>
        <v>#N/A</v>
      </c>
    </row>
    <row r="170" spans="1:10" s="382" customFormat="1" ht="15.75" x14ac:dyDescent="0.3">
      <c r="A170" s="797" t="s">
        <v>195</v>
      </c>
      <c r="B170" s="727"/>
      <c r="C170" s="727"/>
      <c r="D170" s="727"/>
      <c r="E170" s="1107" t="e">
        <f t="shared" ref="E170:J170" si="84">HLOOKUP(E157,$AA20:$AH30,11,FALSE)</f>
        <v>#N/A</v>
      </c>
      <c r="F170" s="1107" t="e">
        <f t="shared" si="84"/>
        <v>#N/A</v>
      </c>
      <c r="G170" s="1107" t="e">
        <f t="shared" si="84"/>
        <v>#N/A</v>
      </c>
      <c r="H170" s="1107" t="e">
        <f t="shared" si="84"/>
        <v>#N/A</v>
      </c>
      <c r="I170" s="1107" t="e">
        <f t="shared" si="84"/>
        <v>#N/A</v>
      </c>
      <c r="J170" s="1108" t="e">
        <f t="shared" si="84"/>
        <v>#N/A</v>
      </c>
    </row>
    <row r="171" spans="1:10" s="382" customFormat="1" ht="15.75" x14ac:dyDescent="0.3">
      <c r="A171" s="797" t="s">
        <v>269</v>
      </c>
      <c r="B171" s="727"/>
      <c r="C171" s="727"/>
      <c r="D171" s="727"/>
      <c r="E171" s="1107" t="e">
        <f t="shared" ref="E171:J171" si="85">HLOOKUP(E157,$AA20:$AH31,12,FALSE)</f>
        <v>#N/A</v>
      </c>
      <c r="F171" s="1107" t="e">
        <f t="shared" si="85"/>
        <v>#N/A</v>
      </c>
      <c r="G171" s="1107" t="e">
        <f t="shared" si="85"/>
        <v>#N/A</v>
      </c>
      <c r="H171" s="1107" t="e">
        <f t="shared" si="85"/>
        <v>#N/A</v>
      </c>
      <c r="I171" s="1107" t="e">
        <f t="shared" si="85"/>
        <v>#N/A</v>
      </c>
      <c r="J171" s="1108" t="e">
        <f t="shared" si="85"/>
        <v>#N/A</v>
      </c>
    </row>
    <row r="172" spans="1:10" s="382" customFormat="1" x14ac:dyDescent="0.25">
      <c r="A172" s="797" t="s">
        <v>198</v>
      </c>
      <c r="B172" s="727"/>
      <c r="C172" s="727"/>
      <c r="D172" s="727"/>
      <c r="E172" s="1101" t="str">
        <f t="shared" ref="E172:J172" si="86">IF(E163="manual", 0,"N/A")</f>
        <v>N/A</v>
      </c>
      <c r="F172" s="1101" t="str">
        <f t="shared" si="86"/>
        <v>N/A</v>
      </c>
      <c r="G172" s="1101" t="str">
        <f t="shared" si="86"/>
        <v>N/A</v>
      </c>
      <c r="H172" s="1101" t="str">
        <f t="shared" si="86"/>
        <v>N/A</v>
      </c>
      <c r="I172" s="1101" t="str">
        <f t="shared" si="86"/>
        <v>N/A</v>
      </c>
      <c r="J172" s="1102" t="str">
        <f t="shared" si="86"/>
        <v>N/A</v>
      </c>
    </row>
    <row r="173" spans="1:10" s="382" customFormat="1" ht="15.75" x14ac:dyDescent="0.3">
      <c r="A173" s="797" t="s">
        <v>199</v>
      </c>
      <c r="B173" s="727"/>
      <c r="C173" s="727"/>
      <c r="D173" s="727"/>
      <c r="E173" s="1101" t="str">
        <f t="shared" ref="E173:J173" si="87">IF(E163="manual", 0,"N/A")</f>
        <v>N/A</v>
      </c>
      <c r="F173" s="1101" t="str">
        <f t="shared" si="87"/>
        <v>N/A</v>
      </c>
      <c r="G173" s="1101" t="str">
        <f t="shared" si="87"/>
        <v>N/A</v>
      </c>
      <c r="H173" s="1101" t="str">
        <f t="shared" si="87"/>
        <v>N/A</v>
      </c>
      <c r="I173" s="1101" t="str">
        <f t="shared" si="87"/>
        <v>N/A</v>
      </c>
      <c r="J173" s="1102" t="str">
        <f t="shared" si="87"/>
        <v>N/A</v>
      </c>
    </row>
    <row r="174" spans="1:10" s="382" customFormat="1" x14ac:dyDescent="0.25">
      <c r="A174" s="638" t="s">
        <v>200</v>
      </c>
      <c r="B174" s="593"/>
      <c r="C174" s="727"/>
      <c r="D174" s="727"/>
      <c r="E174" s="727"/>
      <c r="F174" s="727"/>
      <c r="G174" s="727"/>
      <c r="H174" s="727"/>
      <c r="I174" s="727"/>
      <c r="J174" s="660"/>
    </row>
    <row r="175" spans="1:10" s="382" customFormat="1" x14ac:dyDescent="0.25">
      <c r="A175" s="637" t="s">
        <v>70</v>
      </c>
      <c r="B175" s="593"/>
      <c r="C175" s="593"/>
      <c r="D175" s="593"/>
      <c r="E175" s="593"/>
      <c r="F175" s="593"/>
      <c r="G175" s="593"/>
      <c r="H175" s="593"/>
      <c r="I175" s="593"/>
      <c r="J175" s="621"/>
    </row>
    <row r="176" spans="1:10" s="382" customFormat="1" x14ac:dyDescent="0.25">
      <c r="A176" s="644" t="s">
        <v>128</v>
      </c>
      <c r="B176" s="727"/>
      <c r="C176" s="727"/>
      <c r="D176" s="727"/>
      <c r="E176" s="586" t="e">
        <f t="shared" ref="E176:J176" si="88">E162/(E169*E170)</f>
        <v>#N/A</v>
      </c>
      <c r="F176" s="586" t="e">
        <f t="shared" si="88"/>
        <v>#N/A</v>
      </c>
      <c r="G176" s="586" t="e">
        <f t="shared" si="88"/>
        <v>#N/A</v>
      </c>
      <c r="H176" s="586" t="e">
        <f t="shared" si="88"/>
        <v>#N/A</v>
      </c>
      <c r="I176" s="586" t="e">
        <f t="shared" si="88"/>
        <v>#N/A</v>
      </c>
      <c r="J176" s="587" t="e">
        <f t="shared" si="88"/>
        <v>#N/A</v>
      </c>
    </row>
    <row r="177" spans="1:11" s="382" customFormat="1" x14ac:dyDescent="0.25">
      <c r="A177" s="580" t="s">
        <v>191</v>
      </c>
      <c r="B177" s="727"/>
      <c r="C177" s="727"/>
      <c r="D177" s="727"/>
      <c r="E177" s="586" t="str">
        <f t="shared" ref="E177:J177" si="89">IF(E163="manual", E167, E164)</f>
        <v xml:space="preserve"> </v>
      </c>
      <c r="F177" s="586" t="str">
        <f t="shared" si="89"/>
        <v xml:space="preserve"> </v>
      </c>
      <c r="G177" s="586" t="str">
        <f t="shared" si="89"/>
        <v xml:space="preserve"> </v>
      </c>
      <c r="H177" s="586" t="str">
        <f t="shared" si="89"/>
        <v xml:space="preserve"> </v>
      </c>
      <c r="I177" s="586" t="str">
        <f t="shared" si="89"/>
        <v xml:space="preserve"> </v>
      </c>
      <c r="J177" s="587" t="str">
        <f t="shared" si="89"/>
        <v xml:space="preserve"> </v>
      </c>
    </row>
    <row r="178" spans="1:11" s="382" customFormat="1" ht="18.75" customHeight="1" x14ac:dyDescent="0.25">
      <c r="A178" s="642" t="s">
        <v>291</v>
      </c>
      <c r="B178" s="724"/>
      <c r="C178" s="724"/>
      <c r="D178" s="724"/>
      <c r="E178" s="724"/>
      <c r="F178" s="724"/>
      <c r="G178" s="724"/>
      <c r="H178" s="724"/>
      <c r="I178" s="724"/>
      <c r="J178" s="622"/>
    </row>
    <row r="179" spans="1:11" s="382" customFormat="1" ht="15.75" thickBot="1" x14ac:dyDescent="0.3">
      <c r="A179" s="797" t="s">
        <v>292</v>
      </c>
      <c r="B179" s="727"/>
      <c r="C179" s="727"/>
      <c r="D179" s="727"/>
      <c r="E179" s="613" t="e">
        <f t="shared" ref="E179:J179" si="90">IF(E159="yes",1200,IF(E160=1,((1380*EXP(-0.00102*E177))*E170*E171),((1420*EXP(-0.00085*E177))*E170*E171)))</f>
        <v>#VALUE!</v>
      </c>
      <c r="F179" s="613" t="e">
        <f t="shared" si="90"/>
        <v>#VALUE!</v>
      </c>
      <c r="G179" s="613" t="e">
        <f t="shared" si="90"/>
        <v>#VALUE!</v>
      </c>
      <c r="H179" s="613" t="e">
        <f t="shared" si="90"/>
        <v>#VALUE!</v>
      </c>
      <c r="I179" s="613" t="e">
        <f t="shared" si="90"/>
        <v>#VALUE!</v>
      </c>
      <c r="J179" s="634" t="e">
        <f t="shared" si="90"/>
        <v>#VALUE!</v>
      </c>
    </row>
    <row r="180" spans="1:11" s="382" customFormat="1" ht="15.75" thickTop="1" x14ac:dyDescent="0.25">
      <c r="A180" s="797" t="s">
        <v>293</v>
      </c>
      <c r="B180" s="727"/>
      <c r="C180" s="727"/>
      <c r="D180" s="727"/>
      <c r="E180" s="623" t="e">
        <f>IF(E179="NA","NA",E176*E170)</f>
        <v>#VALUE!</v>
      </c>
      <c r="F180" s="623" t="e">
        <f t="shared" ref="F180:J180" si="91">IF(F179="NA","NA",F176*F170)</f>
        <v>#VALUE!</v>
      </c>
      <c r="G180" s="623" t="e">
        <f t="shared" si="91"/>
        <v>#VALUE!</v>
      </c>
      <c r="H180" s="623" t="e">
        <f t="shared" si="91"/>
        <v>#VALUE!</v>
      </c>
      <c r="I180" s="623" t="e">
        <f t="shared" si="91"/>
        <v>#VALUE!</v>
      </c>
      <c r="J180" s="497" t="e">
        <f t="shared" si="91"/>
        <v>#VALUE!</v>
      </c>
      <c r="K180" s="593"/>
    </row>
    <row r="181" spans="1:11" s="382" customFormat="1" x14ac:dyDescent="0.25">
      <c r="A181" s="798" t="s">
        <v>203</v>
      </c>
      <c r="B181" s="727"/>
      <c r="C181" s="727"/>
      <c r="D181" s="727"/>
      <c r="E181" s="671" t="e">
        <f>E180/E179</f>
        <v>#VALUE!</v>
      </c>
      <c r="F181" s="671" t="e">
        <f t="shared" ref="F181:J181" si="92">F176/F179</f>
        <v>#N/A</v>
      </c>
      <c r="G181" s="671" t="e">
        <f t="shared" si="92"/>
        <v>#N/A</v>
      </c>
      <c r="H181" s="671" t="e">
        <f t="shared" si="92"/>
        <v>#N/A</v>
      </c>
      <c r="I181" s="671" t="e">
        <f t="shared" si="92"/>
        <v>#N/A</v>
      </c>
      <c r="J181" s="659" t="e">
        <f t="shared" si="92"/>
        <v>#N/A</v>
      </c>
      <c r="K181" s="388"/>
    </row>
    <row r="182" spans="1:11" s="382" customFormat="1" ht="15" customHeight="1" x14ac:dyDescent="0.25">
      <c r="A182" s="798" t="s">
        <v>204</v>
      </c>
      <c r="B182" s="727"/>
      <c r="C182" s="727"/>
      <c r="D182" s="727"/>
      <c r="E182" s="640" t="e">
        <f>IF(E159="yes",0,3600/E179+900*0.25*(E181-1+SQRT((E181-1)^2+((3600/E179)*E181)/(450*0.25)))+(5*(MIN(E181,1))))</f>
        <v>#VALUE!</v>
      </c>
      <c r="F182" s="640" t="e">
        <f t="shared" ref="F182:J182" si="93">IF(F159="yes",0,3600/F179+900*0.25*(F181-1+SQRT((F181-1)^2+((3600/F179)*F181)/(450*0.25)))+(5*(MIN(F181,1))))</f>
        <v>#VALUE!</v>
      </c>
      <c r="G182" s="640" t="e">
        <f t="shared" si="93"/>
        <v>#VALUE!</v>
      </c>
      <c r="H182" s="640" t="e">
        <f t="shared" si="93"/>
        <v>#VALUE!</v>
      </c>
      <c r="I182" s="640" t="e">
        <f t="shared" si="93"/>
        <v>#VALUE!</v>
      </c>
      <c r="J182" s="545" t="e">
        <f t="shared" si="93"/>
        <v>#VALUE!</v>
      </c>
    </row>
    <row r="183" spans="1:11" s="382" customFormat="1" x14ac:dyDescent="0.25">
      <c r="A183" s="797" t="s">
        <v>85</v>
      </c>
      <c r="B183" s="727"/>
      <c r="C183" s="727"/>
      <c r="D183" s="727"/>
      <c r="E183" s="588" t="e">
        <f t="shared" ref="E183:J183" si="94">VLOOKUP(E182,$Y59:$Z64,2,TRUE)</f>
        <v>#VALUE!</v>
      </c>
      <c r="F183" s="588" t="e">
        <f t="shared" si="94"/>
        <v>#VALUE!</v>
      </c>
      <c r="G183" s="588" t="e">
        <f t="shared" si="94"/>
        <v>#VALUE!</v>
      </c>
      <c r="H183" s="588" t="e">
        <f t="shared" si="94"/>
        <v>#VALUE!</v>
      </c>
      <c r="I183" s="588" t="e">
        <f t="shared" si="94"/>
        <v>#VALUE!</v>
      </c>
      <c r="J183" s="589" t="e">
        <f t="shared" si="94"/>
        <v>#VALUE!</v>
      </c>
    </row>
    <row r="184" spans="1:11" s="382" customFormat="1" hidden="1" x14ac:dyDescent="0.25">
      <c r="A184" s="797" t="s">
        <v>180</v>
      </c>
      <c r="B184" s="727"/>
      <c r="C184" s="727"/>
      <c r="D184" s="727"/>
      <c r="E184" s="588" t="e">
        <f>VLOOKUP(E182,$Y66:$Z74,2,TRUE)</f>
        <v>#VALUE!</v>
      </c>
      <c r="F184" s="588" t="e">
        <f>VLOOKUP(F182,$U188:$V193,2,TRUE)</f>
        <v>#VALUE!</v>
      </c>
      <c r="G184" s="588" t="e">
        <f>VLOOKUP(G182,$U188:$V193,2,TRUE)</f>
        <v>#VALUE!</v>
      </c>
      <c r="H184" s="588" t="e">
        <f>VLOOKUP(H182,$U188:$V193,2,TRUE)</f>
        <v>#VALUE!</v>
      </c>
      <c r="I184" s="588" t="e">
        <f>VLOOKUP(I182,$U188:$V193,2,TRUE)</f>
        <v>#VALUE!</v>
      </c>
      <c r="J184" s="589" t="e">
        <f>VLOOKUP(J182,$U188:$V193,2,TRUE)</f>
        <v>#VALUE!</v>
      </c>
    </row>
    <row r="185" spans="1:11" s="382" customFormat="1" x14ac:dyDescent="0.25">
      <c r="A185" s="797" t="s">
        <v>150</v>
      </c>
      <c r="B185" s="727"/>
      <c r="C185" s="727"/>
      <c r="D185" s="727"/>
      <c r="E185" s="597" t="e">
        <f>225*(E181-1+SQRT((1-E181)^2+((3600/E179)*E181/37.5)))*(E179/3600)</f>
        <v>#VALUE!</v>
      </c>
      <c r="F185" s="597" t="e">
        <f t="shared" ref="F185:J185" si="95">225*(F181-1+SQRT((1-F181)^2+((3600/F179)*F181/37.5)))*(F179/3600)</f>
        <v>#N/A</v>
      </c>
      <c r="G185" s="597" t="e">
        <f t="shared" si="95"/>
        <v>#N/A</v>
      </c>
      <c r="H185" s="597" t="e">
        <f t="shared" si="95"/>
        <v>#N/A</v>
      </c>
      <c r="I185" s="597" t="e">
        <f t="shared" si="95"/>
        <v>#N/A</v>
      </c>
      <c r="J185" s="607" t="e">
        <f t="shared" si="95"/>
        <v>#N/A</v>
      </c>
    </row>
    <row r="186" spans="1:11" s="382" customFormat="1" ht="15.75" thickBot="1" x14ac:dyDescent="0.3">
      <c r="A186" s="663" t="s">
        <v>138</v>
      </c>
      <c r="B186" s="654"/>
      <c r="C186" s="654"/>
      <c r="D186" s="655"/>
      <c r="E186" s="647" t="e">
        <f t="shared" ref="E186:J186" si="96">E185*($Q$59/E170)</f>
        <v>#VALUE!</v>
      </c>
      <c r="F186" s="647" t="e">
        <f t="shared" si="96"/>
        <v>#N/A</v>
      </c>
      <c r="G186" s="647" t="e">
        <f t="shared" si="96"/>
        <v>#N/A</v>
      </c>
      <c r="H186" s="647" t="e">
        <f t="shared" si="96"/>
        <v>#N/A</v>
      </c>
      <c r="I186" s="647" t="e">
        <f t="shared" si="96"/>
        <v>#N/A</v>
      </c>
      <c r="J186" s="646" t="e">
        <f t="shared" si="96"/>
        <v>#N/A</v>
      </c>
    </row>
    <row r="187" spans="1:11" s="382" customFormat="1" x14ac:dyDescent="0.25">
      <c r="A187" s="591"/>
      <c r="B187" s="591"/>
      <c r="C187" s="591"/>
      <c r="D187" s="591"/>
      <c r="E187" s="591"/>
      <c r="F187" s="591"/>
      <c r="G187" s="591"/>
      <c r="H187" s="591"/>
      <c r="I187" s="591"/>
      <c r="J187" s="591"/>
    </row>
    <row r="188" spans="1:11" s="382" customFormat="1" x14ac:dyDescent="0.25">
      <c r="A188" s="591"/>
      <c r="B188" s="591" t="s">
        <v>244</v>
      </c>
      <c r="C188" s="591"/>
      <c r="D188" s="591"/>
      <c r="E188" s="591"/>
      <c r="F188" s="591"/>
      <c r="G188" s="591"/>
      <c r="H188" s="591"/>
      <c r="I188" s="591"/>
      <c r="J188" s="591"/>
    </row>
    <row r="189" spans="1:11" s="382" customFormat="1" x14ac:dyDescent="0.25">
      <c r="A189" s="591"/>
      <c r="B189" s="591"/>
      <c r="C189" s="591"/>
      <c r="D189" s="591"/>
      <c r="E189" s="591"/>
      <c r="F189" s="591"/>
      <c r="G189" s="591"/>
      <c r="H189" s="591"/>
      <c r="I189" s="591"/>
      <c r="J189" s="591"/>
    </row>
    <row r="190" spans="1:11" s="382" customFormat="1" x14ac:dyDescent="0.25">
      <c r="A190" s="591"/>
      <c r="B190" s="591"/>
      <c r="C190" s="591"/>
      <c r="D190" s="591"/>
      <c r="E190" s="591"/>
      <c r="F190" s="591"/>
      <c r="G190" s="591"/>
      <c r="H190" s="591"/>
      <c r="I190" s="591"/>
      <c r="J190" s="591"/>
    </row>
    <row r="191" spans="1:11" s="382" customFormat="1" x14ac:dyDescent="0.25">
      <c r="A191" s="591"/>
      <c r="B191" s="591"/>
      <c r="C191" s="591"/>
      <c r="D191" s="591"/>
      <c r="E191" s="591"/>
      <c r="F191" s="591"/>
      <c r="G191" s="591"/>
      <c r="H191" s="591"/>
      <c r="I191" s="591"/>
      <c r="J191" s="591"/>
    </row>
    <row r="192" spans="1:11" s="382" customFormat="1" x14ac:dyDescent="0.25">
      <c r="A192" s="591"/>
      <c r="B192" s="591"/>
      <c r="C192" s="591"/>
      <c r="D192" s="591"/>
      <c r="E192" s="591"/>
      <c r="F192" s="591"/>
      <c r="G192" s="591"/>
      <c r="H192" s="591"/>
      <c r="I192" s="591"/>
      <c r="J192" s="591"/>
    </row>
    <row r="193" spans="1:10" s="382" customFormat="1" x14ac:dyDescent="0.25">
      <c r="A193" s="591"/>
      <c r="B193" s="591"/>
      <c r="C193" s="591"/>
      <c r="D193" s="591"/>
      <c r="E193" s="591"/>
      <c r="F193" s="591"/>
      <c r="G193" s="591"/>
      <c r="H193" s="591"/>
      <c r="I193" s="591"/>
      <c r="J193" s="591"/>
    </row>
    <row r="194" spans="1:10" s="382" customFormat="1" x14ac:dyDescent="0.25">
      <c r="A194" s="591"/>
      <c r="B194" s="591"/>
      <c r="C194" s="591"/>
      <c r="D194" s="591"/>
      <c r="E194" s="591"/>
      <c r="F194" s="591"/>
      <c r="G194" s="591"/>
      <c r="H194" s="591"/>
      <c r="I194" s="591"/>
      <c r="J194" s="591"/>
    </row>
    <row r="195" spans="1:10" s="382" customFormat="1" x14ac:dyDescent="0.25">
      <c r="A195" s="591"/>
      <c r="B195" s="591"/>
      <c r="C195" s="591"/>
      <c r="D195" s="591"/>
      <c r="E195" s="591"/>
      <c r="F195" s="591"/>
      <c r="G195" s="591"/>
      <c r="H195" s="591"/>
      <c r="I195" s="591"/>
      <c r="J195" s="591"/>
    </row>
    <row r="196" spans="1:10" s="382" customFormat="1" x14ac:dyDescent="0.25">
      <c r="A196" s="591"/>
      <c r="B196" s="591"/>
      <c r="C196" s="591"/>
      <c r="D196" s="591"/>
      <c r="E196" s="591"/>
      <c r="F196" s="591"/>
      <c r="G196" s="591"/>
      <c r="H196" s="591"/>
      <c r="I196" s="591"/>
      <c r="J196" s="591"/>
    </row>
    <row r="197" spans="1:10" s="382" customFormat="1" x14ac:dyDescent="0.25">
      <c r="A197" s="591"/>
      <c r="B197" s="591"/>
      <c r="C197" s="591"/>
      <c r="D197" s="591"/>
      <c r="E197" s="591"/>
      <c r="F197" s="591"/>
      <c r="G197" s="591"/>
      <c r="H197" s="591"/>
      <c r="I197" s="591"/>
      <c r="J197" s="591"/>
    </row>
    <row r="198" spans="1:10" s="382" customFormat="1" x14ac:dyDescent="0.25">
      <c r="A198" s="591"/>
      <c r="B198" s="591"/>
      <c r="C198" s="591"/>
      <c r="D198" s="591"/>
      <c r="E198" s="591"/>
      <c r="F198" s="591"/>
      <c r="G198" s="591"/>
      <c r="H198" s="591"/>
      <c r="I198" s="591"/>
      <c r="J198" s="591"/>
    </row>
    <row r="199" spans="1:10" s="382" customFormat="1" x14ac:dyDescent="0.25">
      <c r="B199" s="591"/>
      <c r="C199" s="591"/>
      <c r="D199" s="591"/>
      <c r="E199" s="591"/>
      <c r="F199" s="591"/>
      <c r="G199" s="591"/>
      <c r="H199" s="591"/>
      <c r="I199" s="591"/>
      <c r="J199" s="591"/>
    </row>
    <row r="200" spans="1:10" s="382" customFormat="1" x14ac:dyDescent="0.25">
      <c r="B200" s="591"/>
      <c r="C200" s="591"/>
      <c r="D200" s="591"/>
      <c r="E200" s="591"/>
      <c r="F200" s="591"/>
      <c r="G200" s="591"/>
      <c r="H200" s="591"/>
      <c r="I200" s="591"/>
      <c r="J200" s="591"/>
    </row>
    <row r="201" spans="1:10" s="382" customFormat="1" x14ac:dyDescent="0.25">
      <c r="B201" s="591"/>
      <c r="C201" s="591"/>
      <c r="D201" s="591"/>
      <c r="E201" s="591"/>
      <c r="F201" s="591"/>
      <c r="G201" s="591"/>
      <c r="H201" s="591"/>
      <c r="I201" s="591"/>
      <c r="J201" s="591"/>
    </row>
    <row r="202" spans="1:10" s="382" customFormat="1" x14ac:dyDescent="0.25"/>
    <row r="203" spans="1:10" s="382" customFormat="1" x14ac:dyDescent="0.25"/>
    <row r="204" spans="1:10" s="382" customFormat="1" x14ac:dyDescent="0.25"/>
    <row r="205" spans="1:10" s="382" customFormat="1" x14ac:dyDescent="0.25"/>
    <row r="206" spans="1:10" s="382" customFormat="1" x14ac:dyDescent="0.25"/>
    <row r="207" spans="1:10" s="382" customFormat="1" x14ac:dyDescent="0.25"/>
    <row r="208" spans="1:10" s="382" customFormat="1" x14ac:dyDescent="0.25"/>
    <row r="209" s="382" customFormat="1" x14ac:dyDescent="0.25"/>
    <row r="210" s="382" customFormat="1" x14ac:dyDescent="0.25"/>
    <row r="211" s="382" customFormat="1" x14ac:dyDescent="0.25"/>
    <row r="212" s="382" customFormat="1" x14ac:dyDescent="0.25"/>
    <row r="213" s="382" customFormat="1" x14ac:dyDescent="0.25"/>
    <row r="214" s="382" customFormat="1" x14ac:dyDescent="0.25"/>
    <row r="215" s="382" customFormat="1" x14ac:dyDescent="0.25"/>
    <row r="216" s="382" customFormat="1" x14ac:dyDescent="0.25"/>
    <row r="217" s="382" customFormat="1" x14ac:dyDescent="0.25"/>
    <row r="218" s="382" customFormat="1" x14ac:dyDescent="0.25"/>
    <row r="219" s="382" customFormat="1" x14ac:dyDescent="0.25"/>
    <row r="220" s="382" customFormat="1" x14ac:dyDescent="0.25"/>
    <row r="221" s="382" customFormat="1" x14ac:dyDescent="0.25"/>
    <row r="222" s="382" customFormat="1" x14ac:dyDescent="0.25"/>
    <row r="223" s="382" customFormat="1" x14ac:dyDescent="0.25"/>
    <row r="224" s="382" customFormat="1" x14ac:dyDescent="0.25"/>
    <row r="225" s="382" customFormat="1" x14ac:dyDescent="0.25"/>
    <row r="226" s="382" customFormat="1" x14ac:dyDescent="0.25"/>
    <row r="227" s="382" customFormat="1" x14ac:dyDescent="0.25"/>
    <row r="228" s="382" customFormat="1" x14ac:dyDescent="0.25"/>
    <row r="229" s="382" customFormat="1" x14ac:dyDescent="0.25"/>
    <row r="230" s="382" customFormat="1" x14ac:dyDescent="0.25"/>
    <row r="231" s="382" customFormat="1" x14ac:dyDescent="0.25"/>
    <row r="232" s="382" customFormat="1" x14ac:dyDescent="0.25"/>
    <row r="233" s="382" customFormat="1" x14ac:dyDescent="0.25"/>
    <row r="234" s="382" customFormat="1" x14ac:dyDescent="0.25"/>
    <row r="235" s="382" customFormat="1" x14ac:dyDescent="0.25"/>
    <row r="236" s="382" customFormat="1" x14ac:dyDescent="0.25"/>
    <row r="237" s="382" customFormat="1" x14ac:dyDescent="0.25"/>
    <row r="238" s="382" customFormat="1" x14ac:dyDescent="0.25"/>
    <row r="239" s="382" customFormat="1" x14ac:dyDescent="0.25"/>
    <row r="240" s="382" customFormat="1" x14ac:dyDescent="0.25"/>
    <row r="241" s="382" customFormat="1" x14ac:dyDescent="0.25"/>
    <row r="242" s="382" customFormat="1" x14ac:dyDescent="0.25"/>
    <row r="243" s="382" customFormat="1" x14ac:dyDescent="0.25"/>
    <row r="244" s="382" customFormat="1" x14ac:dyDescent="0.25"/>
    <row r="245" s="382" customFormat="1" x14ac:dyDescent="0.25"/>
    <row r="246" s="382" customFormat="1" x14ac:dyDescent="0.25"/>
    <row r="247" s="382" customFormat="1" x14ac:dyDescent="0.25"/>
    <row r="248" s="382" customFormat="1" x14ac:dyDescent="0.25"/>
    <row r="249" s="382" customFormat="1" x14ac:dyDescent="0.25"/>
    <row r="250" s="382" customFormat="1" x14ac:dyDescent="0.25"/>
    <row r="251" s="382" customFormat="1" x14ac:dyDescent="0.25"/>
    <row r="252" s="382" customFormat="1" x14ac:dyDescent="0.25"/>
    <row r="253" s="382" customFormat="1" x14ac:dyDescent="0.25"/>
    <row r="254" s="382" customFormat="1" x14ac:dyDescent="0.25"/>
    <row r="255" s="382" customFormat="1" x14ac:dyDescent="0.25"/>
    <row r="256" s="382" customFormat="1" x14ac:dyDescent="0.25"/>
    <row r="257" s="382" customFormat="1" x14ac:dyDescent="0.25"/>
    <row r="258" s="382" customFormat="1" x14ac:dyDescent="0.25"/>
    <row r="259" s="382" customFormat="1" x14ac:dyDescent="0.25"/>
    <row r="260" s="382" customFormat="1" x14ac:dyDescent="0.25"/>
    <row r="261" s="382" customFormat="1" x14ac:dyDescent="0.25"/>
    <row r="262" s="382" customFormat="1" x14ac:dyDescent="0.25"/>
    <row r="263" s="382" customFormat="1" x14ac:dyDescent="0.25"/>
    <row r="264" s="382" customFormat="1" x14ac:dyDescent="0.25"/>
    <row r="265" s="382" customFormat="1" x14ac:dyDescent="0.25"/>
    <row r="266" s="382" customFormat="1" x14ac:dyDescent="0.25"/>
    <row r="267" s="382" customFormat="1" x14ac:dyDescent="0.25"/>
    <row r="268" s="382" customFormat="1" x14ac:dyDescent="0.25"/>
    <row r="269" s="382" customFormat="1" x14ac:dyDescent="0.25"/>
  </sheetData>
  <sheetProtection algorithmName="SHA-512" hashValue="FF//AhYTlmtU6ol927CtONBUf0fpNb/itvO4RUTSuzgWLFDbGlLu8sCOGQwakUl2qOMoGxdbikq9Z6fLebT0iA==" saltValue="qzWn+eNF5wMhZj77cUh6Cw==" spinCount="100000" sheet="1" objects="1" scenarios="1"/>
  <mergeCells count="173">
    <mergeCell ref="A144:J144"/>
    <mergeCell ref="C145:D145"/>
    <mergeCell ref="F145:G145"/>
    <mergeCell ref="A157:D157"/>
    <mergeCell ref="A158:D158"/>
    <mergeCell ref="A160:D160"/>
    <mergeCell ref="N26:O26"/>
    <mergeCell ref="Q23:S23"/>
    <mergeCell ref="N23:P23"/>
    <mergeCell ref="N25:O25"/>
    <mergeCell ref="A118:B118"/>
    <mergeCell ref="A121:B121"/>
    <mergeCell ref="C121:D121"/>
    <mergeCell ref="E121:F121"/>
    <mergeCell ref="J155:J156"/>
    <mergeCell ref="E155:E156"/>
    <mergeCell ref="F155:F156"/>
    <mergeCell ref="G155:G156"/>
    <mergeCell ref="H155:H156"/>
    <mergeCell ref="I155:I156"/>
    <mergeCell ref="A156:D156"/>
    <mergeCell ref="G121:H121"/>
    <mergeCell ref="I121:J121"/>
    <mergeCell ref="A123:B123"/>
    <mergeCell ref="N18:S18"/>
    <mergeCell ref="N19:O19"/>
    <mergeCell ref="P19:Q19"/>
    <mergeCell ref="R19:S19"/>
    <mergeCell ref="N20:O20"/>
    <mergeCell ref="P20:Q20"/>
    <mergeCell ref="R20:S20"/>
    <mergeCell ref="A112:B112"/>
    <mergeCell ref="A113:B113"/>
    <mergeCell ref="C105:D105"/>
    <mergeCell ref="E105:F105"/>
    <mergeCell ref="G105:H105"/>
    <mergeCell ref="I105:J105"/>
    <mergeCell ref="I107:J107"/>
    <mergeCell ref="A108:B108"/>
    <mergeCell ref="A109:B109"/>
    <mergeCell ref="A110:B110"/>
    <mergeCell ref="A111:B111"/>
    <mergeCell ref="C103:D103"/>
    <mergeCell ref="E103:F103"/>
    <mergeCell ref="G103:H103"/>
    <mergeCell ref="I103:J103"/>
    <mergeCell ref="C91:D91"/>
    <mergeCell ref="E91:F91"/>
    <mergeCell ref="A136:B136"/>
    <mergeCell ref="C125:D125"/>
    <mergeCell ref="E125:F125"/>
    <mergeCell ref="G125:H125"/>
    <mergeCell ref="A116:B116"/>
    <mergeCell ref="A134:B134"/>
    <mergeCell ref="I125:J125"/>
    <mergeCell ref="A127:B127"/>
    <mergeCell ref="C141:D141"/>
    <mergeCell ref="E141:F141"/>
    <mergeCell ref="G141:H141"/>
    <mergeCell ref="I141:J141"/>
    <mergeCell ref="A139:B139"/>
    <mergeCell ref="C139:D139"/>
    <mergeCell ref="E139:F139"/>
    <mergeCell ref="G139:H139"/>
    <mergeCell ref="I139:J139"/>
    <mergeCell ref="G87:H87"/>
    <mergeCell ref="I87:J87"/>
    <mergeCell ref="E89:F89"/>
    <mergeCell ref="G89:H89"/>
    <mergeCell ref="I89:J89"/>
    <mergeCell ref="C123:D123"/>
    <mergeCell ref="E123:F123"/>
    <mergeCell ref="G123:H123"/>
    <mergeCell ref="I123:J123"/>
    <mergeCell ref="C107:D107"/>
    <mergeCell ref="E107:F107"/>
    <mergeCell ref="G107:H107"/>
    <mergeCell ref="A11:B11"/>
    <mergeCell ref="A13:B13"/>
    <mergeCell ref="B2:G2"/>
    <mergeCell ref="B3:G3"/>
    <mergeCell ref="B4:G4"/>
    <mergeCell ref="B5:G5"/>
    <mergeCell ref="B6:G6"/>
    <mergeCell ref="A80:B80"/>
    <mergeCell ref="A81:B81"/>
    <mergeCell ref="A75:B75"/>
    <mergeCell ref="A76:B76"/>
    <mergeCell ref="A77:B77"/>
    <mergeCell ref="A78:B78"/>
    <mergeCell ref="A79:B79"/>
    <mergeCell ref="C11:I11"/>
    <mergeCell ref="C75:D75"/>
    <mergeCell ref="E75:F75"/>
    <mergeCell ref="G75:H75"/>
    <mergeCell ref="I75:J75"/>
    <mergeCell ref="A19:B19"/>
    <mergeCell ref="A20:B20"/>
    <mergeCell ref="A21:B21"/>
    <mergeCell ref="A22:B22"/>
    <mergeCell ref="A24:B24"/>
    <mergeCell ref="A16:B16"/>
    <mergeCell ref="A17:B17"/>
    <mergeCell ref="A18:B18"/>
    <mergeCell ref="A96:B96"/>
    <mergeCell ref="A97:B97"/>
    <mergeCell ref="A30:B30"/>
    <mergeCell ref="A31:B31"/>
    <mergeCell ref="A32:B32"/>
    <mergeCell ref="A60:B60"/>
    <mergeCell ref="A74:J74"/>
    <mergeCell ref="A25:B25"/>
    <mergeCell ref="A26:B26"/>
    <mergeCell ref="A27:B27"/>
    <mergeCell ref="A28:B28"/>
    <mergeCell ref="A29:B29"/>
    <mergeCell ref="A84:B84"/>
    <mergeCell ref="A87:B87"/>
    <mergeCell ref="A89:B89"/>
    <mergeCell ref="I90:J90"/>
    <mergeCell ref="G91:H91"/>
    <mergeCell ref="I91:J91"/>
    <mergeCell ref="C87:D87"/>
    <mergeCell ref="C89:D89"/>
    <mergeCell ref="E87:F87"/>
    <mergeCell ref="B7:G7"/>
    <mergeCell ref="A100:B100"/>
    <mergeCell ref="A103:B103"/>
    <mergeCell ref="A105:B105"/>
    <mergeCell ref="A48:B48"/>
    <mergeCell ref="A49:B49"/>
    <mergeCell ref="A51:B51"/>
    <mergeCell ref="A52:B52"/>
    <mergeCell ref="A53:B53"/>
    <mergeCell ref="A54:B54"/>
    <mergeCell ref="A55:B55"/>
    <mergeCell ref="A56:B56"/>
    <mergeCell ref="A57:B57"/>
    <mergeCell ref="A58:B58"/>
    <mergeCell ref="A93:B93"/>
    <mergeCell ref="A94:B94"/>
    <mergeCell ref="A95:B95"/>
    <mergeCell ref="B8:G9"/>
    <mergeCell ref="A90:B90"/>
    <mergeCell ref="C90:D90"/>
    <mergeCell ref="E90:F90"/>
    <mergeCell ref="G90:H90"/>
    <mergeCell ref="A14:B14"/>
    <mergeCell ref="A15:B15"/>
    <mergeCell ref="A106:B106"/>
    <mergeCell ref="C106:D106"/>
    <mergeCell ref="E106:F106"/>
    <mergeCell ref="G106:H106"/>
    <mergeCell ref="I106:J106"/>
    <mergeCell ref="A165:D165"/>
    <mergeCell ref="A166:D166"/>
    <mergeCell ref="A154:J154"/>
    <mergeCell ref="A124:B124"/>
    <mergeCell ref="C124:D124"/>
    <mergeCell ref="E124:F124"/>
    <mergeCell ref="G124:H124"/>
    <mergeCell ref="I124:J124"/>
    <mergeCell ref="A142:B142"/>
    <mergeCell ref="C142:D142"/>
    <mergeCell ref="E142:F142"/>
    <mergeCell ref="G142:H142"/>
    <mergeCell ref="I142:J142"/>
    <mergeCell ref="A128:B128"/>
    <mergeCell ref="A129:B129"/>
    <mergeCell ref="A130:B130"/>
    <mergeCell ref="A131:B131"/>
    <mergeCell ref="A107:B107"/>
    <mergeCell ref="A141:B141"/>
  </mergeCells>
  <conditionalFormatting sqref="E167:J167 E176:J177 E169:J171 C93:J93 D105 H89 C79:C90 C87:J88 C103:J104 E179:J186 H85:H86 D85:D88 D79:J84 D101:D102 E85:G89 I85:J89 E90 G90 I90 C95:C105 D95:J100 E101:J105">
    <cfRule type="expression" dxfId="89" priority="84" stopIfTrue="1">
      <formula>ISERROR(C79)</formula>
    </cfRule>
  </conditionalFormatting>
  <conditionalFormatting sqref="C93:J93 L59 C77:J77">
    <cfRule type="cellIs" dxfId="88" priority="83" stopIfTrue="1" operator="equal">
      <formula>FALSE</formula>
    </cfRule>
  </conditionalFormatting>
  <conditionalFormatting sqref="C56:J56">
    <cfRule type="cellIs" dxfId="87" priority="82" stopIfTrue="1" operator="notEqual">
      <formula>0.95</formula>
    </cfRule>
  </conditionalFormatting>
  <conditionalFormatting sqref="C54:J55 L43:Q43">
    <cfRule type="cellIs" dxfId="86" priority="81" stopIfTrue="1" operator="notEqual">
      <formula>0</formula>
    </cfRule>
  </conditionalFormatting>
  <conditionalFormatting sqref="C15:D21 E14 E16:E21 F21 G14:H15 G17:H21 I14:J16 I18:J21">
    <cfRule type="cellIs" dxfId="85" priority="79" operator="greaterThan">
      <formula>0</formula>
    </cfRule>
  </conditionalFormatting>
  <conditionalFormatting sqref="F165:F166 F172:F173">
    <cfRule type="expression" dxfId="84" priority="78">
      <formula>$F$163="Manual"</formula>
    </cfRule>
  </conditionalFormatting>
  <conditionalFormatting sqref="E165:E166 E172:E173">
    <cfRule type="expression" dxfId="83" priority="77">
      <formula>$E$163="manual"</formula>
    </cfRule>
  </conditionalFormatting>
  <conditionalFormatting sqref="H165:H166 H172:H173">
    <cfRule type="expression" dxfId="82" priority="76">
      <formula>$H$163="manual"</formula>
    </cfRule>
  </conditionalFormatting>
  <conditionalFormatting sqref="G165:G166 G172:G173">
    <cfRule type="expression" dxfId="81" priority="75">
      <formula>$G$163="manual"</formula>
    </cfRule>
  </conditionalFormatting>
  <conditionalFormatting sqref="I165:I166 I172:I173">
    <cfRule type="expression" dxfId="80" priority="74">
      <formula>$I$163="manual"</formula>
    </cfRule>
  </conditionalFormatting>
  <conditionalFormatting sqref="J165:J166 J172:J173">
    <cfRule type="expression" dxfId="79" priority="73">
      <formula>$J$163="manual"</formula>
    </cfRule>
  </conditionalFormatting>
  <conditionalFormatting sqref="H165:H166">
    <cfRule type="expression" dxfId="78" priority="72">
      <formula>$F$19="manual"</formula>
    </cfRule>
  </conditionalFormatting>
  <conditionalFormatting sqref="I165:I166">
    <cfRule type="expression" dxfId="77" priority="71">
      <formula>$G$19="manual"</formula>
    </cfRule>
  </conditionalFormatting>
  <conditionalFormatting sqref="J165:J166">
    <cfRule type="expression" dxfId="76" priority="70">
      <formula>$H$19="manual"</formula>
    </cfRule>
  </conditionalFormatting>
  <conditionalFormatting sqref="M4:P11">
    <cfRule type="cellIs" dxfId="75" priority="69" operator="equal">
      <formula>0</formula>
    </cfRule>
  </conditionalFormatting>
  <conditionalFormatting sqref="D127 D109 F109 H109 J109 F127 H127 J127">
    <cfRule type="cellIs" dxfId="74" priority="65" stopIfTrue="1" operator="equal">
      <formula>FALSE</formula>
    </cfRule>
  </conditionalFormatting>
  <conditionalFormatting sqref="D127 C111:C123 D111:J122 C129:J132 F127 H127 J127 C135:J139">
    <cfRule type="expression" dxfId="73" priority="66" stopIfTrue="1">
      <formula>ISERROR(C111)</formula>
    </cfRule>
  </conditionalFormatting>
  <conditionalFormatting sqref="E123">
    <cfRule type="expression" dxfId="72" priority="53" stopIfTrue="1">
      <formula>ISERROR(E123)</formula>
    </cfRule>
  </conditionalFormatting>
  <conditionalFormatting sqref="C124">
    <cfRule type="expression" dxfId="71" priority="61" stopIfTrue="1">
      <formula>ISERROR(C124)</formula>
    </cfRule>
  </conditionalFormatting>
  <conditionalFormatting sqref="C106">
    <cfRule type="expression" dxfId="70" priority="60" stopIfTrue="1">
      <formula>ISERROR(C106)</formula>
    </cfRule>
  </conditionalFormatting>
  <conditionalFormatting sqref="E106">
    <cfRule type="expression" dxfId="69" priority="59" stopIfTrue="1">
      <formula>ISERROR(E106)</formula>
    </cfRule>
  </conditionalFormatting>
  <conditionalFormatting sqref="G106">
    <cfRule type="expression" dxfId="68" priority="58" stopIfTrue="1">
      <formula>ISERROR(G106)</formula>
    </cfRule>
  </conditionalFormatting>
  <conditionalFormatting sqref="G123">
    <cfRule type="expression" dxfId="67" priority="52" stopIfTrue="1">
      <formula>ISERROR(G123)</formula>
    </cfRule>
  </conditionalFormatting>
  <conditionalFormatting sqref="I123">
    <cfRule type="expression" dxfId="66" priority="51" stopIfTrue="1">
      <formula>ISERROR(I123)</formula>
    </cfRule>
  </conditionalFormatting>
  <conditionalFormatting sqref="E124">
    <cfRule type="expression" dxfId="65" priority="50" stopIfTrue="1">
      <formula>ISERROR(E124)</formula>
    </cfRule>
  </conditionalFormatting>
  <conditionalFormatting sqref="G124">
    <cfRule type="expression" dxfId="64" priority="49" stopIfTrue="1">
      <formula>ISERROR(G124)</formula>
    </cfRule>
  </conditionalFormatting>
  <conditionalFormatting sqref="I124">
    <cfRule type="expression" dxfId="63" priority="48" stopIfTrue="1">
      <formula>ISERROR(I124)</formula>
    </cfRule>
  </conditionalFormatting>
  <conditionalFormatting sqref="I106">
    <cfRule type="expression" dxfId="62" priority="47" stopIfTrue="1">
      <formula>ISERROR(I106)</formula>
    </cfRule>
  </conditionalFormatting>
  <conditionalFormatting sqref="C109">
    <cfRule type="cellIs" dxfId="61" priority="46" stopIfTrue="1" operator="equal">
      <formula>FALSE</formula>
    </cfRule>
  </conditionalFormatting>
  <conditionalFormatting sqref="E109">
    <cfRule type="cellIs" dxfId="60" priority="45" stopIfTrue="1" operator="equal">
      <formula>FALSE</formula>
    </cfRule>
  </conditionalFormatting>
  <conditionalFormatting sqref="G109">
    <cfRule type="cellIs" dxfId="59" priority="44" stopIfTrue="1" operator="equal">
      <formula>FALSE</formula>
    </cfRule>
  </conditionalFormatting>
  <conditionalFormatting sqref="I109">
    <cfRule type="cellIs" dxfId="58" priority="43" stopIfTrue="1" operator="equal">
      <formula>FALSE</formula>
    </cfRule>
  </conditionalFormatting>
  <conditionalFormatting sqref="C127">
    <cfRule type="expression" dxfId="57" priority="42" stopIfTrue="1">
      <formula>ISERROR(C127)</formula>
    </cfRule>
  </conditionalFormatting>
  <conditionalFormatting sqref="C127">
    <cfRule type="cellIs" dxfId="56" priority="41" stopIfTrue="1" operator="equal">
      <formula>FALSE</formula>
    </cfRule>
  </conditionalFormatting>
  <conditionalFormatting sqref="E127">
    <cfRule type="expression" dxfId="55" priority="40" stopIfTrue="1">
      <formula>ISERROR(E127)</formula>
    </cfRule>
  </conditionalFormatting>
  <conditionalFormatting sqref="E127">
    <cfRule type="cellIs" dxfId="54" priority="39" stopIfTrue="1" operator="equal">
      <formula>FALSE</formula>
    </cfRule>
  </conditionalFormatting>
  <conditionalFormatting sqref="G127">
    <cfRule type="expression" dxfId="53" priority="38" stopIfTrue="1">
      <formula>ISERROR(G127)</formula>
    </cfRule>
  </conditionalFormatting>
  <conditionalFormatting sqref="G127">
    <cfRule type="cellIs" dxfId="52" priority="37" stopIfTrue="1" operator="equal">
      <formula>FALSE</formula>
    </cfRule>
  </conditionalFormatting>
  <conditionalFormatting sqref="I127">
    <cfRule type="expression" dxfId="51" priority="36" stopIfTrue="1">
      <formula>ISERROR(I127)</formula>
    </cfRule>
  </conditionalFormatting>
  <conditionalFormatting sqref="I127">
    <cfRule type="cellIs" dxfId="50" priority="35" stopIfTrue="1" operator="equal">
      <formula>FALSE</formula>
    </cfRule>
  </conditionalFormatting>
  <conditionalFormatting sqref="C53:J53">
    <cfRule type="cellIs" dxfId="49" priority="34" operator="notEqual">
      <formula>0</formula>
    </cfRule>
  </conditionalFormatting>
  <conditionalFormatting sqref="B2:G10">
    <cfRule type="cellIs" dxfId="48" priority="33" operator="equal">
      <formula>0</formula>
    </cfRule>
  </conditionalFormatting>
  <conditionalFormatting sqref="C25:C28 C30:C32 D25:D28 D30:D32 E25:E29 E31:E32 F25:F29 F31:F32 G25:G30 G32 H25:H30 H32 I25:I31 J25:J31">
    <cfRule type="cellIs" dxfId="47" priority="32" operator="greaterThan">
      <formula>0</formula>
    </cfRule>
  </conditionalFormatting>
  <conditionalFormatting sqref="C14:D14 E15 G16:H16 I17:J17 C29:D29 E30:F30 G31:H31 I32:J32">
    <cfRule type="cellIs" dxfId="46" priority="31" operator="greaterThan">
      <formula>0</formula>
    </cfRule>
  </conditionalFormatting>
  <conditionalFormatting sqref="C140:J140">
    <cfRule type="expression" dxfId="45" priority="20" stopIfTrue="1">
      <formula>ISERROR(C140)</formula>
    </cfRule>
  </conditionalFormatting>
  <conditionalFormatting sqref="C141">
    <cfRule type="expression" dxfId="44" priority="28" stopIfTrue="1">
      <formula>ISERROR(C141)</formula>
    </cfRule>
  </conditionalFormatting>
  <conditionalFormatting sqref="E141">
    <cfRule type="expression" dxfId="43" priority="26" stopIfTrue="1">
      <formula>ISERROR(E141)</formula>
    </cfRule>
  </conditionalFormatting>
  <conditionalFormatting sqref="G141">
    <cfRule type="expression" dxfId="42" priority="25" stopIfTrue="1">
      <formula>ISERROR(G141)</formula>
    </cfRule>
  </conditionalFormatting>
  <conditionalFormatting sqref="I141">
    <cfRule type="expression" dxfId="41" priority="24" stopIfTrue="1">
      <formula>ISERROR(I141)</formula>
    </cfRule>
  </conditionalFormatting>
  <conditionalFormatting sqref="C112:J112 C130:J130">
    <cfRule type="cellIs" dxfId="40" priority="18" operator="equal">
      <formula>0</formula>
    </cfRule>
  </conditionalFormatting>
  <conditionalFormatting sqref="C115:J116">
    <cfRule type="cellIs" dxfId="39" priority="17" operator="equal">
      <formula>0</formula>
    </cfRule>
  </conditionalFormatting>
  <conditionalFormatting sqref="C133:J134">
    <cfRule type="cellIs" dxfId="38" priority="15" operator="equal">
      <formula>0</formula>
    </cfRule>
  </conditionalFormatting>
  <conditionalFormatting sqref="C142:C143">
    <cfRule type="expression" dxfId="37" priority="14" stopIfTrue="1">
      <formula>ISERROR(C142)</formula>
    </cfRule>
  </conditionalFormatting>
  <conditionalFormatting sqref="E142">
    <cfRule type="expression" dxfId="36" priority="13" stopIfTrue="1">
      <formula>ISERROR(E142)</formula>
    </cfRule>
  </conditionalFormatting>
  <conditionalFormatting sqref="G142:G143">
    <cfRule type="expression" dxfId="35" priority="12" stopIfTrue="1">
      <formula>ISERROR(G142)</formula>
    </cfRule>
  </conditionalFormatting>
  <conditionalFormatting sqref="I142">
    <cfRule type="expression" dxfId="34" priority="11" stopIfTrue="1">
      <formula>ISERROR(I142)</formula>
    </cfRule>
  </conditionalFormatting>
  <conditionalFormatting sqref="I145:J145">
    <cfRule type="expression" dxfId="33" priority="10" stopIfTrue="1">
      <formula>ISERROR(I145)</formula>
    </cfRule>
  </conditionalFormatting>
  <conditionalFormatting sqref="F145">
    <cfRule type="expression" dxfId="32" priority="9" stopIfTrue="1">
      <formula>ISERROR(F145)</formula>
    </cfRule>
  </conditionalFormatting>
  <conditionalFormatting sqref="E145">
    <cfRule type="expression" dxfId="31" priority="8" stopIfTrue="1">
      <formula>ISERROR(E145)</formula>
    </cfRule>
  </conditionalFormatting>
  <conditionalFormatting sqref="H145">
    <cfRule type="expression" dxfId="30" priority="7" stopIfTrue="1">
      <formula>ISERROR(H145)</formula>
    </cfRule>
  </conditionalFormatting>
  <conditionalFormatting sqref="J145">
    <cfRule type="cellIs" dxfId="29" priority="6" operator="equal">
      <formula>0</formula>
    </cfRule>
  </conditionalFormatting>
  <conditionalFormatting sqref="C145">
    <cfRule type="expression" dxfId="28" priority="5" stopIfTrue="1">
      <formula>ISERROR(C145)</formula>
    </cfRule>
  </conditionalFormatting>
  <conditionalFormatting sqref="C111:J111">
    <cfRule type="cellIs" dxfId="27" priority="4" operator="equal">
      <formula>0</formula>
    </cfRule>
  </conditionalFormatting>
  <conditionalFormatting sqref="C129:J129">
    <cfRule type="cellIs" dxfId="26" priority="3" operator="equal">
      <formula>0</formula>
    </cfRule>
  </conditionalFormatting>
  <conditionalFormatting sqref="F14 F16:F20">
    <cfRule type="cellIs" dxfId="25" priority="2" operator="greaterThan">
      <formula>0</formula>
    </cfRule>
  </conditionalFormatting>
  <conditionalFormatting sqref="F15">
    <cfRule type="cellIs" dxfId="24" priority="1" operator="greaterThan">
      <formula>0</formula>
    </cfRule>
  </conditionalFormatting>
  <dataValidations count="7">
    <dataValidation type="list" allowBlank="1" showInputMessage="1" showErrorMessage="1" sqref="E163:J163">
      <formula1>$AO$52:$AO$55</formula1>
    </dataValidation>
    <dataValidation type="list" allowBlank="1" showInputMessage="1" showErrorMessage="1" sqref="E157:J158">
      <formula1>$AA$20:$AH$20</formula1>
    </dataValidation>
    <dataValidation type="list" allowBlank="1" showInputMessage="1" showErrorMessage="1" sqref="C13:J13 C24:J24">
      <formula1>$AC$6:$AC$13</formula1>
    </dataValidation>
    <dataValidation type="list" allowBlank="1" showInputMessage="1" showErrorMessage="1" sqref="C49:J49 E160:J160">
      <formula1>"1,2"</formula1>
    </dataValidation>
    <dataValidation type="list" allowBlank="1" showInputMessage="1" showErrorMessage="1" sqref="E159:J159">
      <formula1>$AO$57:$AO$58</formula1>
    </dataValidation>
    <dataValidation type="list" allowBlank="1" showInputMessage="1" showErrorMessage="1" sqref="Q23:S23">
      <formula1>$T$17:$T$20</formula1>
    </dataValidation>
    <dataValidation type="list" allowBlank="1" showInputMessage="1" showErrorMessage="1" sqref="Q27">
      <formula1>$Z$6:$Z$16</formula1>
    </dataValidation>
  </dataValidations>
  <pageMargins left="0.7" right="0.7" top="0.75" bottom="0.75" header="0.3" footer="0.3"/>
  <pageSetup scale="95" orientation="portrait" r:id="rId1"/>
  <headerFooter>
    <oddHeader>&amp;L&amp;G&amp;CRoundabout Analysis Tool
Multi-Lane&amp;R&amp;10&amp;D
Version 4.2</oddHeader>
    <oddFooter>&amp;R&amp;10Georgia Department of Transportation
Office of Traffic Operations</oddFooter>
  </headerFooter>
  <rowBreaks count="2" manualBreakCount="2">
    <brk id="59" max="9" man="1"/>
    <brk id="153" max="9"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tint="-0.249977111117893"/>
  </sheetPr>
  <dimension ref="A1:AP239"/>
  <sheetViews>
    <sheetView zoomScaleNormal="100" workbookViewId="0">
      <selection activeCell="B13" sqref="B13"/>
    </sheetView>
  </sheetViews>
  <sheetFormatPr defaultColWidth="9.140625" defaultRowHeight="15" x14ac:dyDescent="0.25"/>
  <cols>
    <col min="1" max="1" width="25.42578125" style="574" customWidth="1"/>
    <col min="2" max="9" width="8.28515625" style="574" customWidth="1"/>
    <col min="10" max="10" width="17.42578125" style="591" customWidth="1"/>
    <col min="11" max="11" width="16.7109375" style="591" customWidth="1"/>
    <col min="12" max="12" width="11.42578125" style="591" customWidth="1"/>
    <col min="13" max="18" width="7.140625" style="591" customWidth="1"/>
    <col min="19" max="19" width="20" style="591" customWidth="1"/>
    <col min="20" max="20" width="4.85546875" style="591" customWidth="1"/>
    <col min="21" max="26" width="9.140625" style="591"/>
    <col min="27" max="27" width="9.140625" style="591" customWidth="1"/>
    <col min="28" max="33" width="9.140625" style="591"/>
    <col min="34" max="34" width="7.28515625" style="591" customWidth="1"/>
    <col min="35" max="41" width="9.140625" style="591"/>
    <col min="42" max="16384" width="9.140625" style="574"/>
  </cols>
  <sheetData>
    <row r="1" spans="1:41" ht="15.75" thickBot="1" x14ac:dyDescent="0.3">
      <c r="A1" s="741" t="s">
        <v>12</v>
      </c>
      <c r="B1" s="599"/>
      <c r="C1" s="599"/>
      <c r="D1" s="413"/>
      <c r="E1" s="577"/>
      <c r="F1" s="577"/>
      <c r="G1" s="577"/>
      <c r="H1" s="577"/>
      <c r="I1" s="578"/>
    </row>
    <row r="2" spans="1:41" ht="15.75" thickTop="1" x14ac:dyDescent="0.25">
      <c r="A2" s="737" t="s">
        <v>13</v>
      </c>
      <c r="B2" s="912">
        <f>'[1]START HERE'!C9</f>
        <v>0</v>
      </c>
      <c r="C2" s="912"/>
      <c r="D2" s="912"/>
      <c r="E2" s="575"/>
      <c r="F2" s="575"/>
      <c r="G2" s="575"/>
      <c r="H2" s="575"/>
      <c r="I2" s="579"/>
      <c r="K2" s="464" t="s">
        <v>254</v>
      </c>
      <c r="L2" s="464"/>
      <c r="M2" s="464"/>
      <c r="N2" s="464"/>
      <c r="O2" s="464"/>
    </row>
    <row r="3" spans="1:41" x14ac:dyDescent="0.25">
      <c r="A3" s="737" t="s">
        <v>14</v>
      </c>
      <c r="B3" s="916">
        <f>'[1]START HERE'!C10</f>
        <v>0</v>
      </c>
      <c r="C3" s="916"/>
      <c r="D3" s="916"/>
      <c r="E3" s="575"/>
      <c r="F3" s="575"/>
      <c r="G3" s="575"/>
      <c r="H3" s="575"/>
      <c r="I3" s="579"/>
      <c r="K3" s="461" t="s">
        <v>246</v>
      </c>
      <c r="L3" s="456" t="s">
        <v>245</v>
      </c>
      <c r="M3" s="387"/>
      <c r="N3" s="387"/>
      <c r="O3" s="387"/>
    </row>
    <row r="4" spans="1:41" x14ac:dyDescent="0.25">
      <c r="A4" s="231" t="s">
        <v>15</v>
      </c>
      <c r="B4" s="914">
        <f>'[1]START HERE'!C11</f>
        <v>0</v>
      </c>
      <c r="C4" s="914"/>
      <c r="D4" s="914"/>
      <c r="E4" s="575"/>
      <c r="F4" s="575"/>
      <c r="G4" s="575"/>
      <c r="H4" s="575"/>
      <c r="I4" s="579"/>
      <c r="K4" s="460" t="s">
        <v>48</v>
      </c>
      <c r="L4" s="459">
        <f>'[1]START HERE'!$AC$22</f>
        <v>0</v>
      </c>
      <c r="M4" s="459"/>
      <c r="N4" s="459"/>
      <c r="O4" s="459"/>
    </row>
    <row r="5" spans="1:41" x14ac:dyDescent="0.25">
      <c r="A5" s="231" t="s">
        <v>140</v>
      </c>
      <c r="B5" s="916">
        <f>'[1]START HERE'!C12</f>
        <v>0</v>
      </c>
      <c r="C5" s="916"/>
      <c r="D5" s="916"/>
      <c r="E5" s="575"/>
      <c r="F5" s="575"/>
      <c r="G5" s="575"/>
      <c r="H5" s="575"/>
      <c r="I5" s="579"/>
      <c r="K5" s="460" t="s">
        <v>49</v>
      </c>
      <c r="L5" s="459">
        <f>'[1]START HERE'!$X$43</f>
        <v>0</v>
      </c>
      <c r="M5" s="459"/>
      <c r="N5" s="459"/>
      <c r="O5" s="459"/>
    </row>
    <row r="6" spans="1:41" x14ac:dyDescent="0.25">
      <c r="A6" s="231" t="s">
        <v>252</v>
      </c>
      <c r="B6" s="916">
        <f>'[1]START HERE'!C13</f>
        <v>0</v>
      </c>
      <c r="C6" s="916"/>
      <c r="D6" s="916"/>
      <c r="E6" s="575"/>
      <c r="F6" s="575"/>
      <c r="G6" s="575"/>
      <c r="H6" s="575"/>
      <c r="I6" s="579"/>
      <c r="K6" s="460" t="s">
        <v>50</v>
      </c>
      <c r="L6" s="459">
        <f>'[1]START HERE'!$AE$33</f>
        <v>0</v>
      </c>
      <c r="M6" s="459"/>
      <c r="N6" s="459"/>
      <c r="O6" s="459"/>
      <c r="AA6" s="591" t="s">
        <v>279</v>
      </c>
    </row>
    <row r="7" spans="1:41" x14ac:dyDescent="0.25">
      <c r="A7" s="231" t="s">
        <v>144</v>
      </c>
      <c r="B7" s="916">
        <f>'[1]START HERE'!C14</f>
        <v>0</v>
      </c>
      <c r="C7" s="916"/>
      <c r="D7" s="916"/>
      <c r="E7" s="575"/>
      <c r="F7" s="575"/>
      <c r="G7" s="575"/>
      <c r="H7" s="575"/>
      <c r="I7" s="579"/>
      <c r="K7" s="460" t="s">
        <v>51</v>
      </c>
      <c r="L7" s="459">
        <f>'[1]START HERE'!X52</f>
        <v>0</v>
      </c>
      <c r="M7" s="459"/>
      <c r="N7" s="459"/>
      <c r="O7" s="459"/>
      <c r="AA7" s="465" t="s">
        <v>282</v>
      </c>
    </row>
    <row r="8" spans="1:41" x14ac:dyDescent="0.25">
      <c r="A8" s="645" t="s">
        <v>17</v>
      </c>
      <c r="B8" s="1082">
        <f>'[1]START HERE'!C15</f>
        <v>0</v>
      </c>
      <c r="C8" s="1082"/>
      <c r="D8" s="1082"/>
      <c r="E8" s="575"/>
      <c r="F8" s="575"/>
      <c r="G8" s="575"/>
      <c r="H8" s="575"/>
      <c r="I8" s="579"/>
      <c r="K8" s="460" t="s">
        <v>52</v>
      </c>
      <c r="L8" s="459">
        <f>'[1]START HERE'!$X$39</f>
        <v>0</v>
      </c>
      <c r="M8" s="459"/>
      <c r="N8" s="459"/>
      <c r="O8" s="459"/>
      <c r="AA8" s="465" t="s">
        <v>283</v>
      </c>
    </row>
    <row r="9" spans="1:41" x14ac:dyDescent="0.25">
      <c r="A9" s="737"/>
      <c r="B9" s="1083"/>
      <c r="C9" s="1083"/>
      <c r="D9" s="1083"/>
      <c r="E9" s="575"/>
      <c r="F9" s="575"/>
      <c r="G9" s="575"/>
      <c r="H9" s="575"/>
      <c r="I9" s="579"/>
      <c r="K9" s="460" t="s">
        <v>53</v>
      </c>
      <c r="L9" s="459">
        <f>'[1]START HERE'!$V$49</f>
        <v>0</v>
      </c>
      <c r="M9" s="459"/>
      <c r="N9" s="459"/>
      <c r="O9" s="459"/>
      <c r="AA9" s="465" t="s">
        <v>284</v>
      </c>
    </row>
    <row r="10" spans="1:41" x14ac:dyDescent="0.25">
      <c r="A10" s="742"/>
      <c r="B10" s="575"/>
      <c r="C10" s="575"/>
      <c r="D10" s="575"/>
      <c r="E10" s="575"/>
      <c r="F10" s="575"/>
      <c r="G10" s="575"/>
      <c r="H10" s="575"/>
      <c r="I10" s="579"/>
      <c r="K10" s="460" t="s">
        <v>54</v>
      </c>
      <c r="L10" s="463">
        <f>'[1]START HERE'!$V$27</f>
        <v>0</v>
      </c>
      <c r="M10" s="463"/>
      <c r="N10" s="463"/>
      <c r="O10" s="463"/>
      <c r="AA10" s="465" t="s">
        <v>231</v>
      </c>
    </row>
    <row r="11" spans="1:41" s="371" customFormat="1" x14ac:dyDescent="0.25">
      <c r="A11" s="743" t="s">
        <v>1</v>
      </c>
      <c r="B11" s="1025" t="s">
        <v>152</v>
      </c>
      <c r="C11" s="1026"/>
      <c r="D11" s="1026"/>
      <c r="E11" s="1026"/>
      <c r="F11" s="1026"/>
      <c r="G11" s="1026"/>
      <c r="H11" s="1026"/>
      <c r="I11" s="600"/>
      <c r="J11" s="383"/>
      <c r="K11" s="460" t="s">
        <v>55</v>
      </c>
      <c r="L11" s="459">
        <f>'[1]START HERE'!$V$43</f>
        <v>0</v>
      </c>
      <c r="M11" s="459"/>
      <c r="N11" s="459"/>
      <c r="O11" s="459"/>
      <c r="P11" s="383"/>
      <c r="Q11" s="383"/>
      <c r="R11" s="383"/>
      <c r="S11" s="383"/>
      <c r="T11" s="383"/>
      <c r="U11" s="383"/>
      <c r="V11" s="383"/>
      <c r="W11" s="383"/>
      <c r="X11" s="383"/>
      <c r="Y11" s="383"/>
      <c r="Z11" s="591"/>
      <c r="AA11" s="465" t="s">
        <v>285</v>
      </c>
      <c r="AB11" s="591"/>
      <c r="AC11" s="591"/>
      <c r="AD11" s="591"/>
      <c r="AE11" s="383"/>
      <c r="AF11" s="383"/>
      <c r="AG11" s="383"/>
      <c r="AH11" s="383"/>
      <c r="AI11" s="383"/>
      <c r="AJ11" s="383"/>
      <c r="AK11" s="383"/>
      <c r="AL11" s="383"/>
      <c r="AM11" s="383"/>
      <c r="AN11" s="383"/>
      <c r="AO11" s="383"/>
    </row>
    <row r="12" spans="1:41" s="371" customFormat="1" ht="15.75" thickBot="1" x14ac:dyDescent="0.3">
      <c r="A12" s="601"/>
      <c r="B12" s="602" t="s">
        <v>101</v>
      </c>
      <c r="C12" s="602" t="s">
        <v>102</v>
      </c>
      <c r="D12" s="602" t="s">
        <v>103</v>
      </c>
      <c r="E12" s="602" t="s">
        <v>104</v>
      </c>
      <c r="F12" s="602" t="s">
        <v>105</v>
      </c>
      <c r="G12" s="602" t="s">
        <v>106</v>
      </c>
      <c r="H12" s="602" t="s">
        <v>107</v>
      </c>
      <c r="I12" s="603" t="s">
        <v>108</v>
      </c>
      <c r="J12" s="383"/>
      <c r="K12" s="383"/>
      <c r="L12" s="383"/>
      <c r="M12" s="383"/>
      <c r="N12" s="383"/>
      <c r="O12" s="383"/>
      <c r="P12" s="383"/>
      <c r="Q12" s="383"/>
      <c r="R12" s="383"/>
      <c r="S12" s="383"/>
      <c r="T12" s="383"/>
      <c r="U12" s="383"/>
      <c r="V12" s="383"/>
      <c r="W12" s="383"/>
      <c r="X12" s="383"/>
      <c r="Y12" s="383"/>
      <c r="Z12" s="591"/>
      <c r="AA12" s="465" t="s">
        <v>234</v>
      </c>
      <c r="AB12" s="591"/>
      <c r="AC12" s="591"/>
      <c r="AD12" s="591"/>
      <c r="AE12" s="383"/>
      <c r="AF12" s="383"/>
      <c r="AG12" s="383"/>
      <c r="AH12" s="383"/>
      <c r="AI12" s="383"/>
      <c r="AJ12" s="383"/>
      <c r="AK12" s="383"/>
      <c r="AL12" s="383"/>
      <c r="AM12" s="383"/>
      <c r="AN12" s="383"/>
      <c r="AO12" s="383"/>
    </row>
    <row r="13" spans="1:41" s="371" customFormat="1" ht="15.75" thickTop="1" x14ac:dyDescent="0.25">
      <c r="A13" s="642" t="s">
        <v>277</v>
      </c>
      <c r="B13" s="670" t="s">
        <v>279</v>
      </c>
      <c r="C13" s="670" t="s">
        <v>279</v>
      </c>
      <c r="D13" s="670" t="s">
        <v>279</v>
      </c>
      <c r="E13" s="670" t="s">
        <v>279</v>
      </c>
      <c r="F13" s="670" t="s">
        <v>279</v>
      </c>
      <c r="G13" s="670" t="s">
        <v>279</v>
      </c>
      <c r="H13" s="670" t="s">
        <v>279</v>
      </c>
      <c r="I13" s="744" t="s">
        <v>279</v>
      </c>
      <c r="J13" s="745"/>
      <c r="K13" s="383"/>
      <c r="L13" s="383"/>
      <c r="M13" s="383"/>
      <c r="N13" s="383"/>
      <c r="O13" s="383"/>
      <c r="P13" s="383"/>
      <c r="Q13" s="383"/>
      <c r="R13" s="383"/>
      <c r="S13" s="383"/>
      <c r="T13" s="383"/>
      <c r="U13" s="383"/>
      <c r="V13" s="383"/>
      <c r="W13" s="383"/>
      <c r="X13" s="383"/>
      <c r="Y13" s="383"/>
      <c r="Z13" s="591"/>
      <c r="AA13" s="465" t="s">
        <v>278</v>
      </c>
      <c r="AB13" s="591"/>
      <c r="AC13" s="591"/>
      <c r="AD13" s="591"/>
      <c r="AE13" s="383"/>
      <c r="AF13" s="383"/>
      <c r="AG13" s="383"/>
      <c r="AH13" s="383"/>
      <c r="AI13" s="383"/>
      <c r="AJ13" s="383"/>
      <c r="AK13" s="383"/>
      <c r="AL13" s="383"/>
      <c r="AM13" s="383"/>
      <c r="AN13" s="383"/>
      <c r="AO13" s="383"/>
    </row>
    <row r="14" spans="1:41" x14ac:dyDescent="0.25">
      <c r="A14" s="746" t="s">
        <v>165</v>
      </c>
      <c r="B14" s="666"/>
      <c r="C14" s="666"/>
      <c r="D14" s="666"/>
      <c r="E14" s="666"/>
      <c r="F14" s="666"/>
      <c r="G14" s="666"/>
      <c r="H14" s="666"/>
      <c r="I14" s="667"/>
    </row>
    <row r="15" spans="1:41" x14ac:dyDescent="0.25">
      <c r="A15" s="624" t="s">
        <v>168</v>
      </c>
      <c r="B15" s="668"/>
      <c r="C15" s="668"/>
      <c r="D15" s="668"/>
      <c r="E15" s="668"/>
      <c r="F15" s="668"/>
      <c r="G15" s="668"/>
      <c r="H15" s="668"/>
      <c r="I15" s="669"/>
    </row>
    <row r="16" spans="1:41" x14ac:dyDescent="0.25">
      <c r="A16" s="624" t="s">
        <v>167</v>
      </c>
      <c r="B16" s="668"/>
      <c r="C16" s="668"/>
      <c r="D16" s="668"/>
      <c r="E16" s="668"/>
      <c r="F16" s="668"/>
      <c r="G16" s="668"/>
      <c r="H16" s="668"/>
      <c r="I16" s="669"/>
    </row>
    <row r="17" spans="1:42" x14ac:dyDescent="0.25">
      <c r="A17" s="624" t="s">
        <v>166</v>
      </c>
      <c r="B17" s="668"/>
      <c r="C17" s="668"/>
      <c r="D17" s="668"/>
      <c r="E17" s="668"/>
      <c r="F17" s="668"/>
      <c r="G17" s="668"/>
      <c r="H17" s="668"/>
      <c r="I17" s="669"/>
      <c r="J17" s="400"/>
      <c r="K17" s="593"/>
      <c r="M17" s="205"/>
      <c r="N17" s="205"/>
      <c r="O17" s="205"/>
      <c r="P17" s="205"/>
      <c r="Q17" s="205"/>
      <c r="R17" s="205"/>
      <c r="S17" s="541" t="s">
        <v>279</v>
      </c>
      <c r="T17" s="541"/>
      <c r="Z17" s="383"/>
      <c r="AB17" s="383"/>
      <c r="AC17" s="383"/>
      <c r="AD17" s="383"/>
    </row>
    <row r="18" spans="1:42" x14ac:dyDescent="0.25">
      <c r="A18" s="624" t="s">
        <v>61</v>
      </c>
      <c r="B18" s="668"/>
      <c r="C18" s="668"/>
      <c r="D18" s="668"/>
      <c r="E18" s="668"/>
      <c r="F18" s="668"/>
      <c r="G18" s="668"/>
      <c r="H18" s="668"/>
      <c r="I18" s="669"/>
      <c r="K18" s="593"/>
      <c r="M18" s="1042" t="s">
        <v>327</v>
      </c>
      <c r="N18" s="951"/>
      <c r="O18" s="951"/>
      <c r="P18" s="951"/>
      <c r="Q18" s="951"/>
      <c r="R18" s="1043"/>
      <c r="S18" s="542" t="s">
        <v>319</v>
      </c>
      <c r="T18" s="541">
        <v>1</v>
      </c>
    </row>
    <row r="19" spans="1:42" x14ac:dyDescent="0.25">
      <c r="A19" s="624" t="s">
        <v>62</v>
      </c>
      <c r="B19" s="668"/>
      <c r="C19" s="668"/>
      <c r="D19" s="668"/>
      <c r="E19" s="668"/>
      <c r="F19" s="668"/>
      <c r="G19" s="668"/>
      <c r="H19" s="668"/>
      <c r="I19" s="669"/>
      <c r="K19" s="593"/>
      <c r="M19" s="1044" t="s">
        <v>2</v>
      </c>
      <c r="N19" s="1045"/>
      <c r="O19" s="1044" t="s">
        <v>3</v>
      </c>
      <c r="P19" s="1045"/>
      <c r="Q19" s="1046" t="s">
        <v>4</v>
      </c>
      <c r="R19" s="1045"/>
      <c r="S19" s="541" t="s">
        <v>320</v>
      </c>
      <c r="T19" s="541">
        <v>2</v>
      </c>
      <c r="AH19" s="591" t="s">
        <v>186</v>
      </c>
    </row>
    <row r="20" spans="1:42" x14ac:dyDescent="0.25">
      <c r="A20" s="624" t="s">
        <v>63</v>
      </c>
      <c r="B20" s="668"/>
      <c r="C20" s="668"/>
      <c r="D20" s="668"/>
      <c r="E20" s="668"/>
      <c r="F20" s="668"/>
      <c r="G20" s="668"/>
      <c r="H20" s="668"/>
      <c r="I20" s="669"/>
      <c r="K20" s="593"/>
      <c r="M20" s="1047">
        <v>100</v>
      </c>
      <c r="N20" s="1048"/>
      <c r="O20" s="1047">
        <v>250</v>
      </c>
      <c r="P20" s="1048"/>
      <c r="Q20" s="1047">
        <v>300</v>
      </c>
      <c r="R20" s="1048"/>
      <c r="S20" s="541" t="s">
        <v>321</v>
      </c>
      <c r="T20" s="541">
        <v>3</v>
      </c>
      <c r="Y20" s="446" t="s">
        <v>48</v>
      </c>
      <c r="Z20" s="446" t="s">
        <v>49</v>
      </c>
      <c r="AA20" s="446" t="s">
        <v>50</v>
      </c>
      <c r="AB20" s="446" t="s">
        <v>51</v>
      </c>
      <c r="AC20" s="446" t="s">
        <v>52</v>
      </c>
      <c r="AD20" s="446" t="s">
        <v>53</v>
      </c>
      <c r="AE20" s="446" t="s">
        <v>54</v>
      </c>
      <c r="AF20" s="446" t="s">
        <v>55</v>
      </c>
      <c r="AG20" s="591" t="s">
        <v>192</v>
      </c>
      <c r="AI20" s="425" t="s">
        <v>187</v>
      </c>
      <c r="AJ20" s="591" t="s">
        <v>194</v>
      </c>
      <c r="AK20" s="591" t="s">
        <v>193</v>
      </c>
    </row>
    <row r="21" spans="1:42" x14ac:dyDescent="0.25">
      <c r="A21" s="624" t="s">
        <v>64</v>
      </c>
      <c r="B21" s="668"/>
      <c r="C21" s="668"/>
      <c r="D21" s="668"/>
      <c r="E21" s="668"/>
      <c r="F21" s="668"/>
      <c r="G21" s="668"/>
      <c r="H21" s="668"/>
      <c r="I21" s="669"/>
      <c r="K21" s="593"/>
      <c r="L21" s="529"/>
      <c r="M21" s="538" t="s">
        <v>322</v>
      </c>
      <c r="N21" s="539" t="s">
        <v>323</v>
      </c>
      <c r="O21" s="540" t="s">
        <v>322</v>
      </c>
      <c r="P21" s="538" t="s">
        <v>323</v>
      </c>
      <c r="Q21" s="538" t="s">
        <v>322</v>
      </c>
      <c r="R21" s="539" t="s">
        <v>323</v>
      </c>
      <c r="S21" s="541">
        <f>IF(P23=S18,1, IF(P23=S19, 2, IF(P23=S20,3,0)))</f>
        <v>0</v>
      </c>
      <c r="T21" s="541"/>
      <c r="V21" s="383"/>
      <c r="X21" s="384" t="s">
        <v>119</v>
      </c>
      <c r="Y21" s="403">
        <f t="shared" ref="Y21:AF28" si="0">B36/(B$57*B$56)</f>
        <v>0</v>
      </c>
      <c r="Z21" s="403">
        <f t="shared" si="0"/>
        <v>0</v>
      </c>
      <c r="AA21" s="403">
        <f t="shared" si="0"/>
        <v>0</v>
      </c>
      <c r="AB21" s="403">
        <f t="shared" si="0"/>
        <v>0</v>
      </c>
      <c r="AC21" s="403">
        <f t="shared" si="0"/>
        <v>0</v>
      </c>
      <c r="AD21" s="403">
        <f t="shared" si="0"/>
        <v>0</v>
      </c>
      <c r="AE21" s="403">
        <f t="shared" si="0"/>
        <v>0</v>
      </c>
      <c r="AF21" s="403">
        <f t="shared" si="0"/>
        <v>0</v>
      </c>
      <c r="AG21" s="403">
        <f t="shared" ref="AG21:AG28" si="1">SUM(Y21:AF21)</f>
        <v>0</v>
      </c>
      <c r="AH21" s="403"/>
      <c r="AI21" s="403">
        <f t="shared" ref="AI21:AI28" si="2">SUM(B61:I61)</f>
        <v>0</v>
      </c>
      <c r="AJ21" s="403">
        <f t="shared" ref="AJ21:AJ28" si="3">AI21*0.667</f>
        <v>0</v>
      </c>
      <c r="AK21" s="403">
        <f t="shared" ref="AK21:AK28" si="4">IF(AJ21&gt;AG21,AJ21,AG21)</f>
        <v>0</v>
      </c>
    </row>
    <row r="22" spans="1:42" x14ac:dyDescent="0.25">
      <c r="A22" s="624" t="s">
        <v>110</v>
      </c>
      <c r="B22" s="586">
        <f>SUM(B14:B21)</f>
        <v>0</v>
      </c>
      <c r="C22" s="586">
        <f>SUM(C14:C21)</f>
        <v>0</v>
      </c>
      <c r="D22" s="586">
        <f t="shared" ref="D22:I22" si="5">SUM(D14:D21)</f>
        <v>0</v>
      </c>
      <c r="E22" s="586">
        <f t="shared" si="5"/>
        <v>0</v>
      </c>
      <c r="F22" s="586">
        <f t="shared" si="5"/>
        <v>0</v>
      </c>
      <c r="G22" s="586">
        <f t="shared" si="5"/>
        <v>0</v>
      </c>
      <c r="H22" s="586">
        <f t="shared" si="5"/>
        <v>0</v>
      </c>
      <c r="I22" s="587">
        <f t="shared" si="5"/>
        <v>0</v>
      </c>
      <c r="K22" s="593"/>
      <c r="L22" s="529"/>
      <c r="M22" s="747">
        <f>IF(S21=1,M20, IF(S21=2, IF(SUM(O20:R20)&gt;(0.47*(SUM(M20:R20))),M20,(0.53*(M20+O20+Q20))), IF(S21=3, M20,0)))</f>
        <v>0</v>
      </c>
      <c r="N22" s="748">
        <f>IF(S21=1, 0,IF(S21=2, IF(SUM(O20:R20)&gt;(0.47*(SUM(M20:R20))),0,(0.47*(SUM(M20:R20)))-O20-Q20),IF(S21=3,0,0)))</f>
        <v>0</v>
      </c>
      <c r="O22" s="749">
        <f>IF(S21=1,IF(M22&gt;(0.47*(SUM(M20:R20))),0,IF(R22&gt;(0.53*(SUM(M20:R20))),O20,((0.47*(SUM(M20:R20)))-M20))),IF(S21=2,0,IF(S21=3,O20,0)))</f>
        <v>0</v>
      </c>
      <c r="P22" s="707">
        <f>IF(S21=1,IF(M22&gt;(0.47*(SUM(M20:R20))),O20,IF(R22&gt;(0.53*(SUM(M20:R20))),0,((0.53*(SUM(M20:R20)))-Q20))),IF(S21=2,O20,IF(S21=3,0,0)))</f>
        <v>0</v>
      </c>
      <c r="Q22" s="747">
        <f>IF(S21&gt;0,IF(S21=1,0,IF(S21=2,0,IF(S21=3, IF(SUM(M20:P20)&gt;(0.47*(SUM(M20:R20))),0,(0.47*(SUM(M20:R20)))-O20-M20)))),0)</f>
        <v>0</v>
      </c>
      <c r="R22" s="750">
        <f>IF(S21&gt;0,IF(S21=1,Q20,IF(S21=2,Q20,IF(S21=3,IF(SUM(O20:R20)&gt;(0.47*(SUM(M20:P20))),Q20,(0.53*(M20+O20+Q20)))))),0)</f>
        <v>0</v>
      </c>
      <c r="S22" s="541">
        <f>SUM(M20:R20)</f>
        <v>650</v>
      </c>
      <c r="T22" s="541"/>
      <c r="V22" s="383"/>
      <c r="X22" s="384" t="s">
        <v>120</v>
      </c>
      <c r="Y22" s="403">
        <f t="shared" si="0"/>
        <v>0</v>
      </c>
      <c r="Z22" s="403">
        <f t="shared" si="0"/>
        <v>0</v>
      </c>
      <c r="AA22" s="403">
        <f t="shared" si="0"/>
        <v>0</v>
      </c>
      <c r="AB22" s="403">
        <f t="shared" si="0"/>
        <v>0</v>
      </c>
      <c r="AC22" s="403">
        <f t="shared" si="0"/>
        <v>0</v>
      </c>
      <c r="AD22" s="403">
        <f t="shared" si="0"/>
        <v>0</v>
      </c>
      <c r="AE22" s="403">
        <f t="shared" si="0"/>
        <v>0</v>
      </c>
      <c r="AF22" s="403">
        <f t="shared" si="0"/>
        <v>0</v>
      </c>
      <c r="AG22" s="403">
        <f t="shared" si="1"/>
        <v>0</v>
      </c>
      <c r="AH22" s="403"/>
      <c r="AI22" s="403">
        <f t="shared" si="2"/>
        <v>0</v>
      </c>
      <c r="AJ22" s="403">
        <f t="shared" si="3"/>
        <v>0</v>
      </c>
      <c r="AK22" s="403">
        <f t="shared" si="4"/>
        <v>0</v>
      </c>
    </row>
    <row r="23" spans="1:42" s="371" customFormat="1" ht="15.75" thickBot="1" x14ac:dyDescent="0.3">
      <c r="A23" s="751"/>
      <c r="B23" s="629" t="s">
        <v>111</v>
      </c>
      <c r="C23" s="739" t="s">
        <v>112</v>
      </c>
      <c r="D23" s="739" t="s">
        <v>113</v>
      </c>
      <c r="E23" s="739" t="s">
        <v>114</v>
      </c>
      <c r="F23" s="739" t="s">
        <v>115</v>
      </c>
      <c r="G23" s="739" t="s">
        <v>116</v>
      </c>
      <c r="H23" s="739" t="s">
        <v>117</v>
      </c>
      <c r="I23" s="604" t="s">
        <v>118</v>
      </c>
      <c r="J23" s="383"/>
      <c r="K23" s="592"/>
      <c r="L23" s="383"/>
      <c r="M23" s="1063" t="s">
        <v>324</v>
      </c>
      <c r="N23" s="1064"/>
      <c r="O23" s="1065"/>
      <c r="P23" s="1060" t="s">
        <v>279</v>
      </c>
      <c r="Q23" s="1061"/>
      <c r="R23" s="1062"/>
      <c r="S23" s="543">
        <f>SUM(M22:R22)</f>
        <v>0</v>
      </c>
      <c r="T23" s="543"/>
      <c r="U23" s="383"/>
      <c r="V23" s="591"/>
      <c r="W23" s="591"/>
      <c r="X23" s="384" t="s">
        <v>109</v>
      </c>
      <c r="Y23" s="403">
        <f t="shared" si="0"/>
        <v>0</v>
      </c>
      <c r="Z23" s="403">
        <f t="shared" si="0"/>
        <v>0</v>
      </c>
      <c r="AA23" s="403">
        <f t="shared" si="0"/>
        <v>0</v>
      </c>
      <c r="AB23" s="403">
        <f t="shared" si="0"/>
        <v>0</v>
      </c>
      <c r="AC23" s="403">
        <f t="shared" si="0"/>
        <v>0</v>
      </c>
      <c r="AD23" s="403">
        <f t="shared" si="0"/>
        <v>0</v>
      </c>
      <c r="AE23" s="403">
        <f t="shared" si="0"/>
        <v>0</v>
      </c>
      <c r="AF23" s="403">
        <f t="shared" si="0"/>
        <v>0</v>
      </c>
      <c r="AG23" s="403">
        <f t="shared" si="1"/>
        <v>0</v>
      </c>
      <c r="AH23" s="403"/>
      <c r="AI23" s="403">
        <f t="shared" si="2"/>
        <v>0</v>
      </c>
      <c r="AJ23" s="403">
        <f t="shared" si="3"/>
        <v>0</v>
      </c>
      <c r="AK23" s="403">
        <f t="shared" si="4"/>
        <v>0</v>
      </c>
      <c r="AL23" s="591"/>
      <c r="AM23" s="591"/>
      <c r="AN23" s="591"/>
      <c r="AO23" s="591"/>
      <c r="AP23" s="574"/>
    </row>
    <row r="24" spans="1:42" s="371" customFormat="1" ht="15.75" thickTop="1" x14ac:dyDescent="0.25">
      <c r="A24" s="642" t="s">
        <v>277</v>
      </c>
      <c r="B24" s="670" t="s">
        <v>279</v>
      </c>
      <c r="C24" s="670" t="s">
        <v>279</v>
      </c>
      <c r="D24" s="670" t="s">
        <v>279</v>
      </c>
      <c r="E24" s="670" t="s">
        <v>279</v>
      </c>
      <c r="F24" s="670" t="s">
        <v>279</v>
      </c>
      <c r="G24" s="670" t="s">
        <v>279</v>
      </c>
      <c r="H24" s="670" t="s">
        <v>279</v>
      </c>
      <c r="I24" s="752" t="s">
        <v>279</v>
      </c>
      <c r="J24" s="383"/>
      <c r="K24" s="592"/>
      <c r="L24" s="383"/>
      <c r="O24" s="530" t="s">
        <v>325</v>
      </c>
      <c r="P24" s="371" t="s">
        <v>326</v>
      </c>
      <c r="S24" s="383"/>
      <c r="T24" s="383"/>
      <c r="U24" s="383"/>
      <c r="V24" s="591"/>
      <c r="W24" s="591"/>
      <c r="X24" s="384" t="s">
        <v>59</v>
      </c>
      <c r="Y24" s="403">
        <f t="shared" si="0"/>
        <v>0</v>
      </c>
      <c r="Z24" s="403">
        <f t="shared" si="0"/>
        <v>0</v>
      </c>
      <c r="AA24" s="403">
        <f t="shared" si="0"/>
        <v>0</v>
      </c>
      <c r="AB24" s="403">
        <f t="shared" si="0"/>
        <v>0</v>
      </c>
      <c r="AC24" s="403">
        <f t="shared" si="0"/>
        <v>0</v>
      </c>
      <c r="AD24" s="403">
        <f t="shared" si="0"/>
        <v>0</v>
      </c>
      <c r="AE24" s="403">
        <f t="shared" si="0"/>
        <v>0</v>
      </c>
      <c r="AF24" s="403">
        <f t="shared" si="0"/>
        <v>0</v>
      </c>
      <c r="AG24" s="403">
        <f t="shared" si="1"/>
        <v>0</v>
      </c>
      <c r="AH24" s="403"/>
      <c r="AI24" s="403">
        <f t="shared" si="2"/>
        <v>0</v>
      </c>
      <c r="AJ24" s="403">
        <f t="shared" si="3"/>
        <v>0</v>
      </c>
      <c r="AK24" s="403">
        <f t="shared" si="4"/>
        <v>0</v>
      </c>
      <c r="AL24" s="591"/>
      <c r="AM24" s="591"/>
      <c r="AN24" s="591"/>
      <c r="AO24" s="591"/>
      <c r="AP24" s="574"/>
    </row>
    <row r="25" spans="1:42" x14ac:dyDescent="0.25">
      <c r="A25" s="624" t="s">
        <v>119</v>
      </c>
      <c r="B25" s="666"/>
      <c r="C25" s="666"/>
      <c r="D25" s="666"/>
      <c r="E25" s="666"/>
      <c r="F25" s="666"/>
      <c r="G25" s="666"/>
      <c r="H25" s="666"/>
      <c r="I25" s="667"/>
      <c r="K25" s="593"/>
      <c r="M25" s="1059" t="s">
        <v>328</v>
      </c>
      <c r="N25" s="1059"/>
      <c r="O25" s="531">
        <f>M22+O22+Q22</f>
        <v>0</v>
      </c>
      <c r="P25" s="532" t="e">
        <f>O25/SUM(O25:O26)</f>
        <v>#DIV/0!</v>
      </c>
      <c r="X25" s="384" t="s">
        <v>61</v>
      </c>
      <c r="Y25" s="403">
        <f t="shared" si="0"/>
        <v>0</v>
      </c>
      <c r="Z25" s="403">
        <f t="shared" si="0"/>
        <v>0</v>
      </c>
      <c r="AA25" s="403">
        <f t="shared" si="0"/>
        <v>0</v>
      </c>
      <c r="AB25" s="403">
        <f t="shared" si="0"/>
        <v>0</v>
      </c>
      <c r="AC25" s="403">
        <f t="shared" si="0"/>
        <v>0</v>
      </c>
      <c r="AD25" s="403">
        <f t="shared" si="0"/>
        <v>0</v>
      </c>
      <c r="AE25" s="403">
        <f t="shared" si="0"/>
        <v>0</v>
      </c>
      <c r="AF25" s="403">
        <f t="shared" si="0"/>
        <v>0</v>
      </c>
      <c r="AG25" s="403">
        <f t="shared" si="1"/>
        <v>0</v>
      </c>
      <c r="AH25" s="403"/>
      <c r="AI25" s="403">
        <f t="shared" si="2"/>
        <v>0</v>
      </c>
      <c r="AJ25" s="403">
        <f t="shared" si="3"/>
        <v>0</v>
      </c>
      <c r="AK25" s="403">
        <f t="shared" si="4"/>
        <v>0</v>
      </c>
    </row>
    <row r="26" spans="1:42" x14ac:dyDescent="0.25">
      <c r="A26" s="624" t="s">
        <v>120</v>
      </c>
      <c r="B26" s="668"/>
      <c r="C26" s="668"/>
      <c r="D26" s="668"/>
      <c r="E26" s="668"/>
      <c r="F26" s="668"/>
      <c r="G26" s="668"/>
      <c r="H26" s="668"/>
      <c r="I26" s="669"/>
      <c r="J26" s="593"/>
      <c r="K26" s="593"/>
      <c r="L26" s="593"/>
      <c r="M26" s="1059" t="s">
        <v>329</v>
      </c>
      <c r="N26" s="1059"/>
      <c r="O26" s="576">
        <f>N22+P22+R22</f>
        <v>0</v>
      </c>
      <c r="P26" s="532" t="e">
        <f>O26/SUM(O25:O26)</f>
        <v>#DIV/0!</v>
      </c>
      <c r="X26" s="384" t="s">
        <v>62</v>
      </c>
      <c r="Y26" s="403">
        <f t="shared" si="0"/>
        <v>0</v>
      </c>
      <c r="Z26" s="403">
        <f t="shared" si="0"/>
        <v>0</v>
      </c>
      <c r="AA26" s="403">
        <f t="shared" si="0"/>
        <v>0</v>
      </c>
      <c r="AB26" s="403">
        <f t="shared" si="0"/>
        <v>0</v>
      </c>
      <c r="AC26" s="403">
        <f t="shared" si="0"/>
        <v>0</v>
      </c>
      <c r="AD26" s="403">
        <f t="shared" si="0"/>
        <v>0</v>
      </c>
      <c r="AE26" s="403">
        <f t="shared" si="0"/>
        <v>0</v>
      </c>
      <c r="AF26" s="403">
        <f t="shared" si="0"/>
        <v>0</v>
      </c>
      <c r="AG26" s="403">
        <f t="shared" si="1"/>
        <v>0</v>
      </c>
      <c r="AH26" s="403"/>
      <c r="AI26" s="403">
        <f t="shared" si="2"/>
        <v>0</v>
      </c>
      <c r="AJ26" s="403">
        <f t="shared" si="3"/>
        <v>0</v>
      </c>
      <c r="AK26" s="403">
        <f t="shared" si="4"/>
        <v>0</v>
      </c>
    </row>
    <row r="27" spans="1:42" x14ac:dyDescent="0.25">
      <c r="A27" s="624" t="s">
        <v>109</v>
      </c>
      <c r="B27" s="668"/>
      <c r="C27" s="668"/>
      <c r="D27" s="668"/>
      <c r="E27" s="668"/>
      <c r="F27" s="668"/>
      <c r="G27" s="668"/>
      <c r="H27" s="668"/>
      <c r="I27" s="669"/>
      <c r="J27" s="593"/>
      <c r="K27" s="593"/>
      <c r="L27" s="533"/>
      <c r="M27" s="534"/>
      <c r="N27" s="534"/>
      <c r="O27" s="533"/>
      <c r="P27" s="535"/>
      <c r="Q27" s="535"/>
      <c r="R27" s="535"/>
      <c r="S27" s="534"/>
      <c r="X27" s="384" t="s">
        <v>63</v>
      </c>
      <c r="Y27" s="403">
        <f t="shared" si="0"/>
        <v>0</v>
      </c>
      <c r="Z27" s="403">
        <f t="shared" si="0"/>
        <v>0</v>
      </c>
      <c r="AA27" s="403">
        <f t="shared" si="0"/>
        <v>0</v>
      </c>
      <c r="AB27" s="403">
        <f t="shared" si="0"/>
        <v>0</v>
      </c>
      <c r="AC27" s="403">
        <f t="shared" si="0"/>
        <v>0</v>
      </c>
      <c r="AD27" s="403">
        <f t="shared" si="0"/>
        <v>0</v>
      </c>
      <c r="AE27" s="403">
        <f t="shared" si="0"/>
        <v>0</v>
      </c>
      <c r="AF27" s="403">
        <f t="shared" si="0"/>
        <v>0</v>
      </c>
      <c r="AG27" s="403">
        <f t="shared" si="1"/>
        <v>0</v>
      </c>
      <c r="AH27" s="403"/>
      <c r="AI27" s="403">
        <f t="shared" si="2"/>
        <v>0</v>
      </c>
      <c r="AJ27" s="403">
        <f t="shared" si="3"/>
        <v>0</v>
      </c>
      <c r="AK27" s="403">
        <f t="shared" si="4"/>
        <v>0</v>
      </c>
    </row>
    <row r="28" spans="1:42" x14ac:dyDescent="0.25">
      <c r="A28" s="624" t="s">
        <v>59</v>
      </c>
      <c r="B28" s="668"/>
      <c r="C28" s="668"/>
      <c r="D28" s="668"/>
      <c r="E28" s="668"/>
      <c r="F28" s="668"/>
      <c r="G28" s="668"/>
      <c r="H28" s="668"/>
      <c r="I28" s="669"/>
      <c r="J28" s="593"/>
      <c r="K28" s="593"/>
      <c r="L28" s="533"/>
      <c r="M28" s="534"/>
      <c r="N28" s="534"/>
      <c r="O28" s="534"/>
      <c r="P28" s="534"/>
      <c r="Q28" s="534"/>
      <c r="R28" s="534"/>
      <c r="S28" s="534"/>
      <c r="X28" s="384" t="s">
        <v>64</v>
      </c>
      <c r="Y28" s="403">
        <f t="shared" si="0"/>
        <v>0</v>
      </c>
      <c r="Z28" s="403">
        <f t="shared" si="0"/>
        <v>0</v>
      </c>
      <c r="AA28" s="403">
        <f t="shared" si="0"/>
        <v>0</v>
      </c>
      <c r="AB28" s="403">
        <f t="shared" si="0"/>
        <v>0</v>
      </c>
      <c r="AC28" s="403">
        <f t="shared" si="0"/>
        <v>0</v>
      </c>
      <c r="AD28" s="403">
        <f t="shared" si="0"/>
        <v>0</v>
      </c>
      <c r="AE28" s="403">
        <f t="shared" si="0"/>
        <v>0</v>
      </c>
      <c r="AF28" s="403">
        <f t="shared" si="0"/>
        <v>0</v>
      </c>
      <c r="AG28" s="403">
        <f t="shared" si="1"/>
        <v>0</v>
      </c>
      <c r="AH28" s="403"/>
      <c r="AI28" s="403">
        <f t="shared" si="2"/>
        <v>0</v>
      </c>
      <c r="AJ28" s="403">
        <f t="shared" si="3"/>
        <v>0</v>
      </c>
      <c r="AK28" s="403">
        <f t="shared" si="4"/>
        <v>0</v>
      </c>
    </row>
    <row r="29" spans="1:42" x14ac:dyDescent="0.25">
      <c r="A29" s="624" t="s">
        <v>61</v>
      </c>
      <c r="B29" s="668"/>
      <c r="C29" s="668"/>
      <c r="D29" s="668"/>
      <c r="E29" s="668"/>
      <c r="F29" s="668"/>
      <c r="G29" s="668"/>
      <c r="H29" s="668"/>
      <c r="I29" s="669"/>
      <c r="J29" s="593"/>
      <c r="K29" s="593"/>
      <c r="L29" s="533"/>
      <c r="M29" s="537"/>
      <c r="N29" s="536"/>
      <c r="O29" s="536"/>
      <c r="P29" s="536"/>
      <c r="Q29" s="536"/>
      <c r="R29" s="536"/>
      <c r="S29" s="534"/>
      <c r="Y29" s="499">
        <f t="shared" ref="Y29:AF31" si="6">B56</f>
        <v>0.92</v>
      </c>
      <c r="Z29" s="499">
        <f t="shared" si="6"/>
        <v>0.92</v>
      </c>
      <c r="AA29" s="499">
        <f t="shared" si="6"/>
        <v>0.92</v>
      </c>
      <c r="AB29" s="499">
        <f t="shared" si="6"/>
        <v>0.92</v>
      </c>
      <c r="AC29" s="499">
        <f t="shared" si="6"/>
        <v>0.92</v>
      </c>
      <c r="AD29" s="499">
        <f t="shared" si="6"/>
        <v>0.92</v>
      </c>
      <c r="AE29" s="499">
        <f t="shared" si="6"/>
        <v>0.92</v>
      </c>
      <c r="AF29" s="499">
        <f t="shared" si="6"/>
        <v>0.92</v>
      </c>
      <c r="AG29" s="499"/>
    </row>
    <row r="30" spans="1:42" x14ac:dyDescent="0.25">
      <c r="A30" s="624" t="s">
        <v>62</v>
      </c>
      <c r="B30" s="668"/>
      <c r="C30" s="668"/>
      <c r="D30" s="668"/>
      <c r="E30" s="668"/>
      <c r="F30" s="668"/>
      <c r="G30" s="668"/>
      <c r="H30" s="668"/>
      <c r="I30" s="669"/>
      <c r="J30" s="592"/>
      <c r="K30" s="593"/>
      <c r="L30" s="533"/>
      <c r="M30" s="533"/>
      <c r="N30" s="533"/>
      <c r="O30" s="533"/>
      <c r="P30" s="533"/>
      <c r="Q30" s="533"/>
      <c r="R30" s="534"/>
      <c r="S30" s="534"/>
      <c r="Y30" s="499">
        <f t="shared" si="6"/>
        <v>1</v>
      </c>
      <c r="Z30" s="499">
        <f t="shared" si="6"/>
        <v>1</v>
      </c>
      <c r="AA30" s="499">
        <f t="shared" si="6"/>
        <v>1</v>
      </c>
      <c r="AB30" s="499">
        <f t="shared" si="6"/>
        <v>1</v>
      </c>
      <c r="AC30" s="499">
        <f t="shared" si="6"/>
        <v>1</v>
      </c>
      <c r="AD30" s="499">
        <f t="shared" si="6"/>
        <v>1</v>
      </c>
      <c r="AE30" s="499">
        <f t="shared" si="6"/>
        <v>1</v>
      </c>
      <c r="AF30" s="499">
        <f t="shared" si="6"/>
        <v>1</v>
      </c>
    </row>
    <row r="31" spans="1:42" x14ac:dyDescent="0.25">
      <c r="A31" s="624" t="s">
        <v>63</v>
      </c>
      <c r="B31" s="668"/>
      <c r="C31" s="668"/>
      <c r="D31" s="668"/>
      <c r="E31" s="668"/>
      <c r="F31" s="668"/>
      <c r="G31" s="668"/>
      <c r="H31" s="668"/>
      <c r="I31" s="669"/>
      <c r="J31" s="593"/>
      <c r="K31" s="593"/>
      <c r="L31" s="593"/>
      <c r="M31" s="593"/>
      <c r="N31" s="593"/>
      <c r="O31" s="593"/>
      <c r="P31" s="593"/>
      <c r="Q31" s="593"/>
      <c r="Y31" s="499">
        <f t="shared" si="6"/>
        <v>1</v>
      </c>
      <c r="Z31" s="499">
        <f t="shared" si="6"/>
        <v>1</v>
      </c>
      <c r="AA31" s="499">
        <f t="shared" si="6"/>
        <v>1</v>
      </c>
      <c r="AB31" s="499">
        <f t="shared" si="6"/>
        <v>1</v>
      </c>
      <c r="AC31" s="499">
        <f t="shared" si="6"/>
        <v>1</v>
      </c>
      <c r="AD31" s="499">
        <f t="shared" si="6"/>
        <v>1</v>
      </c>
      <c r="AE31" s="499">
        <f t="shared" si="6"/>
        <v>1</v>
      </c>
      <c r="AF31" s="499">
        <f t="shared" si="6"/>
        <v>1</v>
      </c>
    </row>
    <row r="32" spans="1:42" x14ac:dyDescent="0.25">
      <c r="A32" s="624" t="s">
        <v>64</v>
      </c>
      <c r="B32" s="668"/>
      <c r="C32" s="668"/>
      <c r="D32" s="668"/>
      <c r="E32" s="668"/>
      <c r="F32" s="668"/>
      <c r="G32" s="668"/>
      <c r="H32" s="668"/>
      <c r="I32" s="669"/>
      <c r="J32" s="592"/>
      <c r="K32" s="593"/>
      <c r="L32" s="593"/>
      <c r="M32" s="593"/>
      <c r="N32" s="593"/>
      <c r="O32" s="593"/>
      <c r="P32" s="593"/>
      <c r="Q32" s="593"/>
    </row>
    <row r="33" spans="1:17" x14ac:dyDescent="0.25">
      <c r="A33" s="624" t="s">
        <v>110</v>
      </c>
      <c r="B33" s="586">
        <f t="shared" ref="B33:I33" si="7">SUM(B25:B32)</f>
        <v>0</v>
      </c>
      <c r="C33" s="586">
        <f t="shared" si="7"/>
        <v>0</v>
      </c>
      <c r="D33" s="586">
        <f t="shared" si="7"/>
        <v>0</v>
      </c>
      <c r="E33" s="586">
        <f t="shared" si="7"/>
        <v>0</v>
      </c>
      <c r="F33" s="586">
        <f t="shared" si="7"/>
        <v>0</v>
      </c>
      <c r="G33" s="586">
        <f t="shared" si="7"/>
        <v>0</v>
      </c>
      <c r="H33" s="586">
        <f t="shared" si="7"/>
        <v>0</v>
      </c>
      <c r="I33" s="587">
        <f t="shared" si="7"/>
        <v>0</v>
      </c>
      <c r="J33" s="593"/>
      <c r="K33" s="593"/>
      <c r="L33" s="593"/>
      <c r="M33" s="593"/>
      <c r="N33" s="593"/>
      <c r="O33" s="593"/>
      <c r="P33" s="593"/>
      <c r="Q33" s="593"/>
    </row>
    <row r="34" spans="1:17" x14ac:dyDescent="0.25">
      <c r="A34" s="580"/>
      <c r="B34" s="590"/>
      <c r="C34" s="590"/>
      <c r="D34" s="590"/>
      <c r="E34" s="590"/>
      <c r="F34" s="590"/>
      <c r="G34" s="590"/>
      <c r="H34" s="590"/>
      <c r="I34" s="710"/>
      <c r="J34" s="593"/>
      <c r="K34" s="593"/>
      <c r="L34" s="593"/>
      <c r="M34" s="593"/>
      <c r="N34" s="593"/>
      <c r="O34" s="593"/>
      <c r="P34" s="593"/>
      <c r="Q34" s="593"/>
    </row>
    <row r="35" spans="1:17" ht="15.75" hidden="1" thickBot="1" x14ac:dyDescent="0.3">
      <c r="A35" s="630" t="s">
        <v>121</v>
      </c>
      <c r="B35" s="739" t="s">
        <v>28</v>
      </c>
      <c r="C35" s="739" t="s">
        <v>29</v>
      </c>
      <c r="D35" s="739" t="s">
        <v>30</v>
      </c>
      <c r="E35" s="739" t="s">
        <v>31</v>
      </c>
      <c r="F35" s="739" t="s">
        <v>32</v>
      </c>
      <c r="G35" s="739" t="s">
        <v>33</v>
      </c>
      <c r="H35" s="739" t="s">
        <v>68</v>
      </c>
      <c r="I35" s="604" t="s">
        <v>35</v>
      </c>
      <c r="J35" s="592"/>
      <c r="K35" s="592"/>
      <c r="L35" s="592"/>
      <c r="M35" s="592"/>
      <c r="N35" s="592"/>
      <c r="O35" s="592"/>
      <c r="P35" s="592"/>
      <c r="Q35" s="593"/>
    </row>
    <row r="36" spans="1:17" hidden="1" x14ac:dyDescent="0.25">
      <c r="A36" s="746" t="s">
        <v>119</v>
      </c>
      <c r="B36" s="584">
        <f t="shared" ref="B36:B43" si="8">IF(B$44=B$22,B14,C14)</f>
        <v>0</v>
      </c>
      <c r="C36" s="584">
        <f t="shared" ref="C36:C43" si="9">IF(C$44=D$22,D14,E14)</f>
        <v>0</v>
      </c>
      <c r="D36" s="584">
        <f t="shared" ref="D36:D43" si="10">IF(D$44=F$22,F14,G14)</f>
        <v>0</v>
      </c>
      <c r="E36" s="584">
        <f t="shared" ref="E36:E43" si="11">IF(E$44=H$22,H14,I14)</f>
        <v>0</v>
      </c>
      <c r="F36" s="584">
        <f t="shared" ref="F36:F43" si="12">IF(F$44=B$33,B25,C25)</f>
        <v>0</v>
      </c>
      <c r="G36" s="584">
        <f t="shared" ref="G36:G43" si="13">IF(G$44=D$33,D25,E25)</f>
        <v>0</v>
      </c>
      <c r="H36" s="584">
        <f t="shared" ref="H36:H43" si="14">IF(H$44=F$33,F25,G25)</f>
        <v>0</v>
      </c>
      <c r="I36" s="585">
        <f t="shared" ref="I36:I43" si="15">IF(I$44=H$33,H25,I25)</f>
        <v>0</v>
      </c>
      <c r="J36" s="592"/>
      <c r="K36" s="592"/>
      <c r="L36" s="592"/>
      <c r="M36" s="592"/>
      <c r="N36" s="592"/>
      <c r="O36" s="592"/>
      <c r="P36" s="592"/>
      <c r="Q36" s="593"/>
    </row>
    <row r="37" spans="1:17" hidden="1" x14ac:dyDescent="0.25">
      <c r="A37" s="624" t="s">
        <v>120</v>
      </c>
      <c r="B37" s="586">
        <f t="shared" si="8"/>
        <v>0</v>
      </c>
      <c r="C37" s="586">
        <f t="shared" si="9"/>
        <v>0</v>
      </c>
      <c r="D37" s="586">
        <f t="shared" si="10"/>
        <v>0</v>
      </c>
      <c r="E37" s="586">
        <f t="shared" si="11"/>
        <v>0</v>
      </c>
      <c r="F37" s="586">
        <f t="shared" si="12"/>
        <v>0</v>
      </c>
      <c r="G37" s="586">
        <f t="shared" si="13"/>
        <v>0</v>
      </c>
      <c r="H37" s="586">
        <f t="shared" si="14"/>
        <v>0</v>
      </c>
      <c r="I37" s="587">
        <f t="shared" si="15"/>
        <v>0</v>
      </c>
      <c r="J37" s="592"/>
      <c r="K37" s="592"/>
      <c r="L37" s="592"/>
      <c r="M37" s="592"/>
      <c r="N37" s="592"/>
      <c r="O37" s="592"/>
      <c r="P37" s="592"/>
      <c r="Q37" s="593"/>
    </row>
    <row r="38" spans="1:17" hidden="1" x14ac:dyDescent="0.25">
      <c r="A38" s="624" t="s">
        <v>109</v>
      </c>
      <c r="B38" s="586">
        <f t="shared" si="8"/>
        <v>0</v>
      </c>
      <c r="C38" s="586">
        <f t="shared" si="9"/>
        <v>0</v>
      </c>
      <c r="D38" s="586">
        <f t="shared" si="10"/>
        <v>0</v>
      </c>
      <c r="E38" s="586">
        <f t="shared" si="11"/>
        <v>0</v>
      </c>
      <c r="F38" s="586">
        <f t="shared" si="12"/>
        <v>0</v>
      </c>
      <c r="G38" s="586">
        <f t="shared" si="13"/>
        <v>0</v>
      </c>
      <c r="H38" s="586">
        <f t="shared" si="14"/>
        <v>0</v>
      </c>
      <c r="I38" s="587">
        <f t="shared" si="15"/>
        <v>0</v>
      </c>
      <c r="J38" s="593"/>
      <c r="K38" s="393"/>
      <c r="L38" s="393"/>
      <c r="M38" s="393"/>
      <c r="N38" s="393"/>
      <c r="O38" s="393"/>
      <c r="P38" s="387"/>
      <c r="Q38" s="593"/>
    </row>
    <row r="39" spans="1:17" hidden="1" x14ac:dyDescent="0.25">
      <c r="A39" s="624" t="s">
        <v>59</v>
      </c>
      <c r="B39" s="586">
        <f t="shared" si="8"/>
        <v>0</v>
      </c>
      <c r="C39" s="586">
        <f t="shared" si="9"/>
        <v>0</v>
      </c>
      <c r="D39" s="586">
        <f t="shared" si="10"/>
        <v>0</v>
      </c>
      <c r="E39" s="586">
        <f t="shared" si="11"/>
        <v>0</v>
      </c>
      <c r="F39" s="586">
        <f t="shared" si="12"/>
        <v>0</v>
      </c>
      <c r="G39" s="586">
        <f t="shared" si="13"/>
        <v>0</v>
      </c>
      <c r="H39" s="586">
        <f t="shared" si="14"/>
        <v>0</v>
      </c>
      <c r="I39" s="587">
        <f t="shared" si="15"/>
        <v>0</v>
      </c>
      <c r="J39" s="400"/>
      <c r="K39" s="393"/>
      <c r="L39" s="593"/>
      <c r="M39" s="593"/>
      <c r="N39" s="593"/>
      <c r="O39" s="593"/>
      <c r="P39" s="593"/>
      <c r="Q39" s="593"/>
    </row>
    <row r="40" spans="1:17" hidden="1" x14ac:dyDescent="0.25">
      <c r="A40" s="624" t="s">
        <v>61</v>
      </c>
      <c r="B40" s="586">
        <f t="shared" si="8"/>
        <v>0</v>
      </c>
      <c r="C40" s="586">
        <f t="shared" si="9"/>
        <v>0</v>
      </c>
      <c r="D40" s="586">
        <f t="shared" si="10"/>
        <v>0</v>
      </c>
      <c r="E40" s="586">
        <f t="shared" si="11"/>
        <v>0</v>
      </c>
      <c r="F40" s="586">
        <f t="shared" si="12"/>
        <v>0</v>
      </c>
      <c r="G40" s="586">
        <f t="shared" si="13"/>
        <v>0</v>
      </c>
      <c r="H40" s="586">
        <f t="shared" si="14"/>
        <v>0</v>
      </c>
      <c r="I40" s="587">
        <f t="shared" si="15"/>
        <v>0</v>
      </c>
      <c r="J40" s="401"/>
      <c r="K40" s="393"/>
      <c r="L40" s="401"/>
      <c r="M40" s="401"/>
      <c r="N40" s="401"/>
      <c r="O40" s="401"/>
      <c r="P40" s="593"/>
      <c r="Q40" s="593"/>
    </row>
    <row r="41" spans="1:17" hidden="1" x14ac:dyDescent="0.25">
      <c r="A41" s="624" t="s">
        <v>62</v>
      </c>
      <c r="B41" s="586">
        <f t="shared" si="8"/>
        <v>0</v>
      </c>
      <c r="C41" s="586">
        <f t="shared" si="9"/>
        <v>0</v>
      </c>
      <c r="D41" s="586">
        <f t="shared" si="10"/>
        <v>0</v>
      </c>
      <c r="E41" s="586">
        <f t="shared" si="11"/>
        <v>0</v>
      </c>
      <c r="F41" s="586">
        <f t="shared" si="12"/>
        <v>0</v>
      </c>
      <c r="G41" s="586">
        <f t="shared" si="13"/>
        <v>0</v>
      </c>
      <c r="H41" s="586">
        <f t="shared" si="14"/>
        <v>0</v>
      </c>
      <c r="I41" s="587">
        <f t="shared" si="15"/>
        <v>0</v>
      </c>
      <c r="J41" s="593"/>
      <c r="K41" s="593"/>
      <c r="L41" s="384"/>
      <c r="M41" s="384"/>
      <c r="N41" s="384"/>
      <c r="O41" s="384"/>
      <c r="P41" s="387"/>
      <c r="Q41" s="593"/>
    </row>
    <row r="42" spans="1:17" hidden="1" x14ac:dyDescent="0.25">
      <c r="A42" s="624" t="s">
        <v>63</v>
      </c>
      <c r="B42" s="586">
        <f t="shared" si="8"/>
        <v>0</v>
      </c>
      <c r="C42" s="586">
        <f t="shared" si="9"/>
        <v>0</v>
      </c>
      <c r="D42" s="586">
        <f t="shared" si="10"/>
        <v>0</v>
      </c>
      <c r="E42" s="586">
        <f t="shared" si="11"/>
        <v>0</v>
      </c>
      <c r="F42" s="586">
        <f t="shared" si="12"/>
        <v>0</v>
      </c>
      <c r="G42" s="586">
        <f t="shared" si="13"/>
        <v>0</v>
      </c>
      <c r="H42" s="586">
        <f t="shared" si="14"/>
        <v>0</v>
      </c>
      <c r="I42" s="587">
        <f t="shared" si="15"/>
        <v>0</v>
      </c>
      <c r="J42" s="388"/>
      <c r="K42" s="389"/>
      <c r="L42" s="389"/>
      <c r="M42" s="389"/>
      <c r="N42" s="389"/>
      <c r="O42" s="389"/>
      <c r="P42" s="389"/>
      <c r="Q42" s="593"/>
    </row>
    <row r="43" spans="1:17" hidden="1" x14ac:dyDescent="0.25">
      <c r="A43" s="624" t="s">
        <v>64</v>
      </c>
      <c r="B43" s="586">
        <f t="shared" si="8"/>
        <v>0</v>
      </c>
      <c r="C43" s="586">
        <f t="shared" si="9"/>
        <v>0</v>
      </c>
      <c r="D43" s="586">
        <f t="shared" si="10"/>
        <v>0</v>
      </c>
      <c r="E43" s="586">
        <f t="shared" si="11"/>
        <v>0</v>
      </c>
      <c r="F43" s="586">
        <f t="shared" si="12"/>
        <v>0</v>
      </c>
      <c r="G43" s="586">
        <f t="shared" si="13"/>
        <v>0</v>
      </c>
      <c r="H43" s="586">
        <f t="shared" si="14"/>
        <v>0</v>
      </c>
      <c r="I43" s="587">
        <f t="shared" si="15"/>
        <v>0</v>
      </c>
      <c r="J43" s="390"/>
      <c r="K43" s="391"/>
      <c r="L43" s="391"/>
      <c r="M43" s="391"/>
      <c r="N43" s="391"/>
      <c r="O43" s="391"/>
      <c r="P43" s="391"/>
      <c r="Q43" s="593"/>
    </row>
    <row r="44" spans="1:17" hidden="1" x14ac:dyDescent="0.25">
      <c r="A44" s="624" t="s">
        <v>110</v>
      </c>
      <c r="B44" s="586">
        <f>IF(B22&gt;C22,B22,C22)</f>
        <v>0</v>
      </c>
      <c r="C44" s="586">
        <f>IF(D22&gt;E22,D22,E22)</f>
        <v>0</v>
      </c>
      <c r="D44" s="586">
        <f>IF(F22&gt;G22,F22,G22)</f>
        <v>0</v>
      </c>
      <c r="E44" s="586">
        <f>IF(H22&gt;I22,H22,I22)</f>
        <v>0</v>
      </c>
      <c r="F44" s="586">
        <f>IF(B33&gt;C33,B33,C33)</f>
        <v>0</v>
      </c>
      <c r="G44" s="586">
        <f>IF(D33&gt;E33,D33,E33)</f>
        <v>0</v>
      </c>
      <c r="H44" s="586">
        <f>IF(F33&gt;G33,F33,G33)</f>
        <v>0</v>
      </c>
      <c r="I44" s="587">
        <f>IF(H33&gt;I33,H33,I33)</f>
        <v>0</v>
      </c>
      <c r="J44" s="390"/>
      <c r="K44" s="592"/>
      <c r="L44" s="592"/>
      <c r="M44" s="592"/>
      <c r="N44" s="592"/>
      <c r="O44" s="592"/>
      <c r="P44" s="592"/>
      <c r="Q44" s="593"/>
    </row>
    <row r="45" spans="1:17" hidden="1" x14ac:dyDescent="0.25">
      <c r="A45" s="624" t="s">
        <v>215</v>
      </c>
      <c r="B45" s="590">
        <f>SUM(B22:C22)</f>
        <v>0</v>
      </c>
      <c r="C45" s="590">
        <f>SUM(D22:E22)</f>
        <v>0</v>
      </c>
      <c r="D45" s="590">
        <f>SUM(F22:G22)</f>
        <v>0</v>
      </c>
      <c r="E45" s="590">
        <f>SUM(H22:I22)</f>
        <v>0</v>
      </c>
      <c r="F45" s="590">
        <f>SUM(B33:C33)</f>
        <v>0</v>
      </c>
      <c r="G45" s="590">
        <f>SUM(D33:E33)</f>
        <v>0</v>
      </c>
      <c r="H45" s="590">
        <f>SUM(F33:G33)</f>
        <v>0</v>
      </c>
      <c r="I45" s="625">
        <f>SUM(H33:I33)</f>
        <v>0</v>
      </c>
      <c r="J45" s="390"/>
      <c r="K45" s="592"/>
      <c r="L45" s="592"/>
      <c r="M45" s="592"/>
      <c r="N45" s="592"/>
      <c r="O45" s="592"/>
      <c r="P45" s="592"/>
      <c r="Q45" s="593"/>
    </row>
    <row r="46" spans="1:17" x14ac:dyDescent="0.25">
      <c r="A46" s="740"/>
      <c r="B46" s="664"/>
      <c r="C46" s="664"/>
      <c r="D46" s="664"/>
      <c r="E46" s="664"/>
      <c r="F46" s="664"/>
      <c r="G46" s="664"/>
      <c r="H46" s="664"/>
      <c r="I46" s="711"/>
      <c r="J46" s="390"/>
      <c r="K46" s="592"/>
      <c r="L46" s="485"/>
      <c r="M46" s="485"/>
      <c r="N46" s="485"/>
      <c r="O46" s="485"/>
      <c r="P46" s="592"/>
      <c r="Q46" s="593"/>
    </row>
    <row r="47" spans="1:17" ht="15.75" thickBot="1" x14ac:dyDescent="0.3">
      <c r="A47" s="753"/>
      <c r="B47" s="629" t="s">
        <v>28</v>
      </c>
      <c r="C47" s="739" t="s">
        <v>29</v>
      </c>
      <c r="D47" s="739" t="s">
        <v>30</v>
      </c>
      <c r="E47" s="739" t="s">
        <v>31</v>
      </c>
      <c r="F47" s="739" t="s">
        <v>32</v>
      </c>
      <c r="G47" s="739" t="s">
        <v>33</v>
      </c>
      <c r="H47" s="739" t="s">
        <v>68</v>
      </c>
      <c r="I47" s="604" t="s">
        <v>35</v>
      </c>
      <c r="J47" s="390"/>
      <c r="K47" s="592"/>
      <c r="L47" s="485"/>
      <c r="M47" s="485"/>
      <c r="N47" s="485"/>
      <c r="O47" s="485"/>
      <c r="P47" s="592"/>
      <c r="Q47" s="593"/>
    </row>
    <row r="48" spans="1:17" ht="16.5" thickTop="1" thickBot="1" x14ac:dyDescent="0.3">
      <c r="A48" s="754" t="s">
        <v>280</v>
      </c>
      <c r="B48" s="586">
        <f>IF(SUM(B14:B21)&gt;0,(IF(SUM(C14:C21)&gt;0,2,1)),(IF(SUM(C14:C21)&gt;0,1,0)))</f>
        <v>0</v>
      </c>
      <c r="C48" s="586">
        <f>IF(SUM(D14:D21)&gt;0,(IF(SUM(E14:E21)&gt;0,2,1)),(IF(SUM(E14:E21)&gt;0,1,0)))</f>
        <v>0</v>
      </c>
      <c r="D48" s="586">
        <f>IF(SUM(F14:F21)&gt;0,(IF(SUM(G14:G21)&gt;0,2,1)),(IF(SUM(G14:G21)&gt;0,1,0)))</f>
        <v>0</v>
      </c>
      <c r="E48" s="586">
        <f>IF(SUM(H14:H21)&gt;0,(IF(SUM(I14:I21)&gt;0,2,1)),(IF(SUM(I14:I21)&gt;0,1,0)))</f>
        <v>0</v>
      </c>
      <c r="F48" s="586">
        <f>IF(SUM(B25:B32)&gt;0,(IF(SUM(C25:C32)&gt;0,2,1)),(IF(SUM(C25:C32)&gt;0,1,0)))</f>
        <v>0</v>
      </c>
      <c r="G48" s="586">
        <f>IF(SUM(D25:D32)&gt;0,(IF(SUM(E25:E32)&gt;0,2,1)),(IF(SUM(E25:E32)&gt;0,1,0)))</f>
        <v>0</v>
      </c>
      <c r="H48" s="586">
        <f>IF(SUM(F25:F32)&gt;0,(IF(SUM(G25:G32)&gt;0,2,1)),(IF(SUM(G25:G32)&gt;0,1,0)))</f>
        <v>0</v>
      </c>
      <c r="I48" s="587">
        <f>IF(SUM(H25:H32)&gt;0,(IF(SUM(I25:I32)&gt;0,2,1)),(IF(SUM(I25:I32)&gt;0,1,0)))</f>
        <v>0</v>
      </c>
      <c r="J48" s="390"/>
      <c r="K48" s="592"/>
      <c r="L48" s="485"/>
      <c r="M48" s="485"/>
      <c r="N48" s="485"/>
      <c r="O48" s="485"/>
      <c r="P48" s="592"/>
      <c r="Q48" s="593"/>
    </row>
    <row r="49" spans="1:39" ht="15" customHeight="1" thickTop="1" thickBot="1" x14ac:dyDescent="0.3">
      <c r="A49" s="754" t="s">
        <v>281</v>
      </c>
      <c r="B49" s="639">
        <v>2</v>
      </c>
      <c r="C49" s="639">
        <v>2</v>
      </c>
      <c r="D49" s="639">
        <v>2</v>
      </c>
      <c r="E49" s="639">
        <v>2</v>
      </c>
      <c r="F49" s="639">
        <v>2</v>
      </c>
      <c r="G49" s="639">
        <v>2</v>
      </c>
      <c r="H49" s="639">
        <v>2</v>
      </c>
      <c r="I49" s="657">
        <v>2</v>
      </c>
      <c r="J49" s="390"/>
      <c r="K49" s="592"/>
      <c r="L49" s="592"/>
      <c r="M49" s="592"/>
      <c r="N49" s="592"/>
      <c r="O49" s="592"/>
      <c r="P49" s="592"/>
      <c r="Q49" s="593"/>
    </row>
    <row r="50" spans="1:39" ht="16.5" customHeight="1" thickTop="1" x14ac:dyDescent="0.25">
      <c r="A50" s="740"/>
      <c r="B50" s="735"/>
      <c r="C50" s="735"/>
      <c r="D50" s="735"/>
      <c r="E50" s="735"/>
      <c r="F50" s="735"/>
      <c r="G50" s="735"/>
      <c r="H50" s="735"/>
      <c r="I50" s="626"/>
      <c r="J50" s="390"/>
      <c r="K50" s="393"/>
      <c r="L50" s="393"/>
      <c r="M50" s="393"/>
      <c r="N50" s="393"/>
      <c r="O50" s="393"/>
      <c r="P50" s="387"/>
      <c r="Q50" s="593"/>
    </row>
    <row r="51" spans="1:39" ht="15.75" thickBot="1" x14ac:dyDescent="0.3">
      <c r="A51" s="755" t="s">
        <v>67</v>
      </c>
      <c r="B51" s="739" t="s">
        <v>28</v>
      </c>
      <c r="C51" s="739" t="s">
        <v>29</v>
      </c>
      <c r="D51" s="739" t="s">
        <v>30</v>
      </c>
      <c r="E51" s="739" t="s">
        <v>31</v>
      </c>
      <c r="F51" s="739" t="s">
        <v>32</v>
      </c>
      <c r="G51" s="739" t="s">
        <v>33</v>
      </c>
      <c r="H51" s="739" t="s">
        <v>68</v>
      </c>
      <c r="I51" s="604" t="s">
        <v>35</v>
      </c>
      <c r="J51" s="390"/>
      <c r="K51" s="393"/>
      <c r="AI51" s="447" t="s">
        <v>184</v>
      </c>
      <c r="AJ51" s="447"/>
      <c r="AK51" s="447"/>
      <c r="AL51" s="447"/>
      <c r="AM51" s="447"/>
    </row>
    <row r="52" spans="1:39" ht="15.75" thickTop="1" x14ac:dyDescent="0.25">
      <c r="A52" s="756" t="s">
        <v>0</v>
      </c>
      <c r="B52" s="633">
        <f>1-B53-B54</f>
        <v>1</v>
      </c>
      <c r="C52" s="633">
        <f t="shared" ref="C52:I52" si="16">1-C53-C54</f>
        <v>1</v>
      </c>
      <c r="D52" s="633">
        <f t="shared" si="16"/>
        <v>1</v>
      </c>
      <c r="E52" s="633">
        <f t="shared" si="16"/>
        <v>1</v>
      </c>
      <c r="F52" s="633">
        <f t="shared" si="16"/>
        <v>1</v>
      </c>
      <c r="G52" s="633">
        <f t="shared" si="16"/>
        <v>1</v>
      </c>
      <c r="H52" s="633">
        <f t="shared" si="16"/>
        <v>1</v>
      </c>
      <c r="I52" s="712">
        <f t="shared" si="16"/>
        <v>1</v>
      </c>
      <c r="J52" s="388"/>
      <c r="K52" s="593"/>
      <c r="AH52" s="593"/>
      <c r="AI52" s="445" t="s">
        <v>48</v>
      </c>
      <c r="AJ52" s="448">
        <f t="shared" ref="AJ52:AJ57" si="17">AK21</f>
        <v>0</v>
      </c>
      <c r="AK52" s="448">
        <f t="shared" ref="AK52:AK59" si="18">SUM(B61:I61)</f>
        <v>0</v>
      </c>
      <c r="AM52" s="447"/>
    </row>
    <row r="53" spans="1:39" x14ac:dyDescent="0.25">
      <c r="A53" s="756" t="s">
        <v>268</v>
      </c>
      <c r="B53" s="627">
        <v>0</v>
      </c>
      <c r="C53" s="628">
        <v>0</v>
      </c>
      <c r="D53" s="628">
        <v>0</v>
      </c>
      <c r="E53" s="628">
        <v>0</v>
      </c>
      <c r="F53" s="628">
        <v>0</v>
      </c>
      <c r="G53" s="628">
        <v>0</v>
      </c>
      <c r="H53" s="628">
        <v>0</v>
      </c>
      <c r="I53" s="631">
        <v>0</v>
      </c>
      <c r="J53" s="402"/>
      <c r="K53" s="387"/>
      <c r="AH53" s="593"/>
      <c r="AI53" s="445" t="s">
        <v>49</v>
      </c>
      <c r="AJ53" s="448">
        <f t="shared" si="17"/>
        <v>0</v>
      </c>
      <c r="AK53" s="448">
        <f t="shared" si="18"/>
        <v>0</v>
      </c>
      <c r="AM53" s="447" t="s">
        <v>190</v>
      </c>
    </row>
    <row r="54" spans="1:39" x14ac:dyDescent="0.25">
      <c r="A54" s="443" t="s">
        <v>132</v>
      </c>
      <c r="B54" s="627">
        <v>0</v>
      </c>
      <c r="C54" s="627">
        <v>0</v>
      </c>
      <c r="D54" s="627">
        <v>0</v>
      </c>
      <c r="E54" s="627">
        <v>0</v>
      </c>
      <c r="F54" s="627">
        <v>0</v>
      </c>
      <c r="G54" s="627">
        <v>0</v>
      </c>
      <c r="H54" s="627">
        <v>0</v>
      </c>
      <c r="I54" s="608">
        <v>0</v>
      </c>
      <c r="J54" s="402"/>
      <c r="K54" s="387"/>
      <c r="AH54" s="593"/>
      <c r="AI54" s="445" t="s">
        <v>50</v>
      </c>
      <c r="AJ54" s="448">
        <f t="shared" si="17"/>
        <v>0</v>
      </c>
      <c r="AK54" s="448">
        <f t="shared" si="18"/>
        <v>0</v>
      </c>
      <c r="AM54" s="591" t="s">
        <v>296</v>
      </c>
    </row>
    <row r="55" spans="1:39" ht="15.75" thickBot="1" x14ac:dyDescent="0.3">
      <c r="A55" s="444" t="s">
        <v>271</v>
      </c>
      <c r="B55" s="681">
        <v>0</v>
      </c>
      <c r="C55" s="681">
        <v>0</v>
      </c>
      <c r="D55" s="681">
        <v>0</v>
      </c>
      <c r="E55" s="681">
        <v>0</v>
      </c>
      <c r="F55" s="681">
        <v>0</v>
      </c>
      <c r="G55" s="681">
        <v>0</v>
      </c>
      <c r="H55" s="681">
        <v>0</v>
      </c>
      <c r="I55" s="682">
        <v>0</v>
      </c>
      <c r="J55" s="593"/>
      <c r="K55" s="393"/>
      <c r="AH55" s="593"/>
      <c r="AI55" s="445" t="s">
        <v>51</v>
      </c>
      <c r="AJ55" s="448">
        <f t="shared" si="17"/>
        <v>0</v>
      </c>
      <c r="AK55" s="448">
        <f t="shared" si="18"/>
        <v>0</v>
      </c>
      <c r="AM55" s="447" t="s">
        <v>189</v>
      </c>
    </row>
    <row r="56" spans="1:39" ht="16.5" thickTop="1" thickBot="1" x14ac:dyDescent="0.3">
      <c r="A56" s="409" t="s">
        <v>5</v>
      </c>
      <c r="B56" s="598">
        <v>0.92</v>
      </c>
      <c r="C56" s="598">
        <v>0.92</v>
      </c>
      <c r="D56" s="598">
        <v>0.92</v>
      </c>
      <c r="E56" s="598">
        <v>0.92</v>
      </c>
      <c r="F56" s="598">
        <v>0.92</v>
      </c>
      <c r="G56" s="598">
        <v>0.92</v>
      </c>
      <c r="H56" s="598">
        <v>0.92</v>
      </c>
      <c r="I56" s="609">
        <v>0.92</v>
      </c>
      <c r="J56" s="592"/>
      <c r="K56" s="593"/>
      <c r="W56" s="591" t="s">
        <v>83</v>
      </c>
      <c r="AH56" s="593"/>
      <c r="AI56" s="445" t="s">
        <v>52</v>
      </c>
      <c r="AJ56" s="448">
        <f t="shared" si="17"/>
        <v>0</v>
      </c>
      <c r="AK56" s="448">
        <f t="shared" si="18"/>
        <v>0</v>
      </c>
      <c r="AM56" s="447"/>
    </row>
    <row r="57" spans="1:39" ht="16.5" thickTop="1" x14ac:dyDescent="0.25">
      <c r="A57" s="757" t="s">
        <v>122</v>
      </c>
      <c r="B57" s="716">
        <f t="shared" ref="B57:I57" si="19">IF(B$44=0,1,1/(1+(B$53*($P$63-1))+(B$54*($P$64-1))))</f>
        <v>1</v>
      </c>
      <c r="C57" s="716">
        <f t="shared" si="19"/>
        <v>1</v>
      </c>
      <c r="D57" s="716">
        <f t="shared" si="19"/>
        <v>1</v>
      </c>
      <c r="E57" s="716">
        <f t="shared" si="19"/>
        <v>1</v>
      </c>
      <c r="F57" s="716">
        <f t="shared" si="19"/>
        <v>1</v>
      </c>
      <c r="G57" s="716">
        <f t="shared" si="19"/>
        <v>1</v>
      </c>
      <c r="H57" s="716">
        <f t="shared" si="19"/>
        <v>1</v>
      </c>
      <c r="I57" s="717">
        <f t="shared" si="19"/>
        <v>1</v>
      </c>
      <c r="J57" s="592"/>
      <c r="K57" s="593"/>
      <c r="W57" s="595" t="s">
        <v>84</v>
      </c>
      <c r="X57" s="424" t="s">
        <v>185</v>
      </c>
      <c r="AH57" s="593"/>
      <c r="AI57" s="445" t="s">
        <v>53</v>
      </c>
      <c r="AJ57" s="448">
        <f t="shared" si="17"/>
        <v>0</v>
      </c>
      <c r="AK57" s="448">
        <f t="shared" si="18"/>
        <v>0</v>
      </c>
      <c r="AM57" s="447" t="s">
        <v>238</v>
      </c>
    </row>
    <row r="58" spans="1:39" ht="15.75" x14ac:dyDescent="0.3">
      <c r="A58" s="583" t="s">
        <v>269</v>
      </c>
      <c r="B58" s="718">
        <f>IF(B55&lt;100,(MIN((1-(B55/100)*(1-(1260.6-(0.329*B72)-(0.381*100))/(1380-(0.5*B72)))),1)),(MIN(((1260.6-(0.329*B72)-(0.381*B55))/(1380-(0.5*B72))),1)))</f>
        <v>1</v>
      </c>
      <c r="C58" s="718">
        <f t="shared" ref="C58:I58" si="20">IF(C55&lt;100,(MIN((1-(C55/100)*(1-(1260.6-(0.329*C72)-(0.381*100))/(1380-(0.5*C72)))),1)),(MIN(((1260.6-(0.329*C72)-(0.381*C55))/(1380-(0.5*C72))),1)))</f>
        <v>1</v>
      </c>
      <c r="D58" s="718">
        <f t="shared" si="20"/>
        <v>1</v>
      </c>
      <c r="E58" s="718">
        <f t="shared" si="20"/>
        <v>1</v>
      </c>
      <c r="F58" s="718">
        <f t="shared" si="20"/>
        <v>1</v>
      </c>
      <c r="G58" s="718">
        <f t="shared" si="20"/>
        <v>1</v>
      </c>
      <c r="H58" s="718">
        <f t="shared" si="20"/>
        <v>1</v>
      </c>
      <c r="I58" s="719">
        <f t="shared" si="20"/>
        <v>1</v>
      </c>
      <c r="J58" s="592"/>
      <c r="K58" s="593"/>
      <c r="W58" s="595"/>
      <c r="X58" s="424"/>
      <c r="AH58" s="593"/>
      <c r="AI58" s="445" t="s">
        <v>54</v>
      </c>
      <c r="AJ58" s="448">
        <f>AK27</f>
        <v>0</v>
      </c>
      <c r="AK58" s="448">
        <f t="shared" si="18"/>
        <v>0</v>
      </c>
      <c r="AL58" s="574"/>
      <c r="AM58" s="447" t="s">
        <v>239</v>
      </c>
    </row>
    <row r="59" spans="1:39" ht="13.5" customHeight="1" x14ac:dyDescent="0.25">
      <c r="I59" s="632"/>
      <c r="J59" s="390"/>
      <c r="K59" s="393"/>
      <c r="R59" s="593"/>
      <c r="W59" s="595">
        <v>0</v>
      </c>
      <c r="X59" s="595" t="s">
        <v>86</v>
      </c>
      <c r="AH59" s="593"/>
      <c r="AI59" s="445" t="s">
        <v>55</v>
      </c>
      <c r="AJ59" s="448">
        <f>AK28</f>
        <v>0</v>
      </c>
      <c r="AK59" s="448">
        <f t="shared" si="18"/>
        <v>0</v>
      </c>
      <c r="AM59" s="447"/>
    </row>
    <row r="60" spans="1:39" ht="15.75" thickBot="1" x14ac:dyDescent="0.3">
      <c r="A60" s="755" t="s">
        <v>70</v>
      </c>
      <c r="B60" s="739" t="s">
        <v>28</v>
      </c>
      <c r="C60" s="739" t="s">
        <v>29</v>
      </c>
      <c r="D60" s="739" t="s">
        <v>30</v>
      </c>
      <c r="E60" s="739" t="s">
        <v>31</v>
      </c>
      <c r="F60" s="739" t="s">
        <v>32</v>
      </c>
      <c r="G60" s="739" t="s">
        <v>33</v>
      </c>
      <c r="H60" s="739" t="s">
        <v>68</v>
      </c>
      <c r="I60" s="604" t="s">
        <v>35</v>
      </c>
      <c r="J60" s="390"/>
      <c r="K60" s="394"/>
      <c r="L60" s="421" t="s">
        <v>147</v>
      </c>
      <c r="M60" s="527"/>
      <c r="N60" s="527"/>
      <c r="O60" s="527"/>
      <c r="P60" s="422"/>
      <c r="Q60" s="384"/>
      <c r="W60" s="595">
        <v>10</v>
      </c>
      <c r="X60" s="595" t="s">
        <v>87</v>
      </c>
      <c r="AH60" s="593"/>
      <c r="AK60" s="448"/>
      <c r="AL60" s="447"/>
      <c r="AM60" s="447"/>
    </row>
    <row r="61" spans="1:39" ht="15.75" thickTop="1" x14ac:dyDescent="0.25">
      <c r="A61" s="746" t="s">
        <v>123</v>
      </c>
      <c r="B61" s="584">
        <f t="shared" ref="B61:B68" si="21">SUM(B14:C14)/(B$56*B$57)</f>
        <v>0</v>
      </c>
      <c r="C61" s="584">
        <f t="shared" ref="C61:C68" si="22">SUM(D14:E14)/(C$56*C$57)</f>
        <v>0</v>
      </c>
      <c r="D61" s="584">
        <f t="shared" ref="D61:D68" si="23">SUM(F14:G14)/(D$56*D$57)</f>
        <v>0</v>
      </c>
      <c r="E61" s="584">
        <f t="shared" ref="E61:E68" si="24">SUM(H14:I14)/(E$56*E$57)</f>
        <v>0</v>
      </c>
      <c r="F61" s="584">
        <f t="shared" ref="F61:F68" si="25">SUM(B25:C25)/(F$56*F$57)</f>
        <v>0</v>
      </c>
      <c r="G61" s="584">
        <f t="shared" ref="G61:G68" si="26">SUM(D25:E25)/(G$56*G$57)</f>
        <v>0</v>
      </c>
      <c r="H61" s="584">
        <f t="shared" ref="H61:H68" si="27">SUM(F25:G25)/(H$56*H$57)</f>
        <v>0</v>
      </c>
      <c r="I61" s="585">
        <f t="shared" ref="I61:I68" si="28">SUM(H25:I25)/(I$56*I$57)</f>
        <v>0</v>
      </c>
      <c r="J61" s="390"/>
      <c r="K61" s="395"/>
      <c r="L61" s="470" t="s">
        <v>6</v>
      </c>
      <c r="M61" s="528"/>
      <c r="N61" s="528"/>
      <c r="O61" s="528"/>
      <c r="P61" s="405" t="s">
        <v>7</v>
      </c>
      <c r="Q61" s="544"/>
      <c r="W61" s="595">
        <v>15</v>
      </c>
      <c r="X61" s="595" t="s">
        <v>88</v>
      </c>
      <c r="AI61" s="445"/>
      <c r="AJ61" s="448"/>
    </row>
    <row r="62" spans="1:39" x14ac:dyDescent="0.25">
      <c r="A62" s="624" t="s">
        <v>124</v>
      </c>
      <c r="B62" s="586">
        <f t="shared" si="21"/>
        <v>0</v>
      </c>
      <c r="C62" s="586">
        <f t="shared" si="22"/>
        <v>0</v>
      </c>
      <c r="D62" s="586">
        <f t="shared" si="23"/>
        <v>0</v>
      </c>
      <c r="E62" s="586">
        <f t="shared" si="24"/>
        <v>0</v>
      </c>
      <c r="F62" s="586">
        <f t="shared" si="25"/>
        <v>0</v>
      </c>
      <c r="G62" s="586">
        <f t="shared" si="26"/>
        <v>0</v>
      </c>
      <c r="H62" s="586">
        <f t="shared" si="27"/>
        <v>0</v>
      </c>
      <c r="I62" s="587">
        <f t="shared" si="28"/>
        <v>0</v>
      </c>
      <c r="J62" s="390"/>
      <c r="K62" s="387"/>
      <c r="L62" s="470" t="s">
        <v>289</v>
      </c>
      <c r="M62" s="528"/>
      <c r="N62" s="528"/>
      <c r="O62" s="528"/>
      <c r="P62" s="428">
        <v>1</v>
      </c>
      <c r="Q62" s="544"/>
      <c r="W62" s="595">
        <v>25</v>
      </c>
      <c r="X62" s="595" t="s">
        <v>47</v>
      </c>
      <c r="AI62" s="445"/>
      <c r="AJ62" s="448"/>
    </row>
    <row r="63" spans="1:39" x14ac:dyDescent="0.25">
      <c r="A63" s="624" t="s">
        <v>73</v>
      </c>
      <c r="B63" s="586">
        <f t="shared" si="21"/>
        <v>0</v>
      </c>
      <c r="C63" s="586">
        <f t="shared" si="22"/>
        <v>0</v>
      </c>
      <c r="D63" s="586">
        <f t="shared" si="23"/>
        <v>0</v>
      </c>
      <c r="E63" s="586">
        <f t="shared" si="24"/>
        <v>0</v>
      </c>
      <c r="F63" s="586">
        <f t="shared" si="25"/>
        <v>0</v>
      </c>
      <c r="G63" s="586">
        <f t="shared" si="26"/>
        <v>0</v>
      </c>
      <c r="H63" s="586">
        <f t="shared" si="27"/>
        <v>0</v>
      </c>
      <c r="I63" s="587">
        <f t="shared" si="28"/>
        <v>0</v>
      </c>
      <c r="J63" s="390"/>
      <c r="K63" s="393"/>
      <c r="L63" s="470" t="s">
        <v>270</v>
      </c>
      <c r="M63" s="528"/>
      <c r="N63" s="528"/>
      <c r="O63" s="528"/>
      <c r="P63" s="428">
        <v>2</v>
      </c>
      <c r="Q63" s="544"/>
      <c r="S63" s="758"/>
      <c r="T63" s="593"/>
      <c r="U63" s="593"/>
      <c r="W63" s="595">
        <v>35</v>
      </c>
      <c r="X63" s="595" t="s">
        <v>30</v>
      </c>
      <c r="AI63" s="445"/>
      <c r="AJ63" s="448"/>
    </row>
    <row r="64" spans="1:39" x14ac:dyDescent="0.25">
      <c r="A64" s="624" t="s">
        <v>74</v>
      </c>
      <c r="B64" s="586">
        <f t="shared" si="21"/>
        <v>0</v>
      </c>
      <c r="C64" s="586">
        <f t="shared" si="22"/>
        <v>0</v>
      </c>
      <c r="D64" s="586">
        <f t="shared" si="23"/>
        <v>0</v>
      </c>
      <c r="E64" s="586">
        <f t="shared" si="24"/>
        <v>0</v>
      </c>
      <c r="F64" s="586">
        <f t="shared" si="25"/>
        <v>0</v>
      </c>
      <c r="G64" s="586">
        <f t="shared" si="26"/>
        <v>0</v>
      </c>
      <c r="H64" s="586">
        <f t="shared" si="27"/>
        <v>0</v>
      </c>
      <c r="I64" s="587">
        <f t="shared" si="28"/>
        <v>0</v>
      </c>
      <c r="J64" s="593"/>
      <c r="K64" s="593"/>
      <c r="L64" s="470" t="s">
        <v>290</v>
      </c>
      <c r="M64" s="528"/>
      <c r="N64" s="528"/>
      <c r="O64" s="528"/>
      <c r="P64" s="428">
        <v>0.5</v>
      </c>
      <c r="Q64" s="544"/>
      <c r="S64" s="758"/>
      <c r="T64" s="593"/>
      <c r="U64" s="593"/>
      <c r="W64" s="595">
        <v>50</v>
      </c>
      <c r="X64" s="595" t="s">
        <v>66</v>
      </c>
      <c r="AI64" s="445"/>
      <c r="AJ64" s="448"/>
    </row>
    <row r="65" spans="1:41" x14ac:dyDescent="0.25">
      <c r="A65" s="624" t="s">
        <v>75</v>
      </c>
      <c r="B65" s="586">
        <f t="shared" si="21"/>
        <v>0</v>
      </c>
      <c r="C65" s="586">
        <f t="shared" si="22"/>
        <v>0</v>
      </c>
      <c r="D65" s="586">
        <f t="shared" si="23"/>
        <v>0</v>
      </c>
      <c r="E65" s="586">
        <f t="shared" si="24"/>
        <v>0</v>
      </c>
      <c r="F65" s="586">
        <f t="shared" si="25"/>
        <v>0</v>
      </c>
      <c r="G65" s="586">
        <f t="shared" si="26"/>
        <v>0</v>
      </c>
      <c r="H65" s="586">
        <f t="shared" si="27"/>
        <v>0</v>
      </c>
      <c r="I65" s="587">
        <f t="shared" si="28"/>
        <v>0</v>
      </c>
      <c r="J65" s="593"/>
      <c r="K65" s="593"/>
      <c r="L65" s="470"/>
      <c r="M65" s="528"/>
      <c r="N65" s="528"/>
      <c r="O65" s="528"/>
      <c r="P65" s="428"/>
      <c r="Q65" s="544"/>
      <c r="S65" s="472"/>
      <c r="T65" s="466"/>
      <c r="U65" s="468"/>
      <c r="W65" s="387" t="s">
        <v>84</v>
      </c>
      <c r="X65" s="390" t="s">
        <v>182</v>
      </c>
      <c r="AI65" s="445"/>
      <c r="AJ65" s="448"/>
    </row>
    <row r="66" spans="1:41" x14ac:dyDescent="0.25">
      <c r="A66" s="624" t="s">
        <v>76</v>
      </c>
      <c r="B66" s="586">
        <f t="shared" si="21"/>
        <v>0</v>
      </c>
      <c r="C66" s="586">
        <f t="shared" si="22"/>
        <v>0</v>
      </c>
      <c r="D66" s="586">
        <f t="shared" si="23"/>
        <v>0</v>
      </c>
      <c r="E66" s="586">
        <f t="shared" si="24"/>
        <v>0</v>
      </c>
      <c r="F66" s="586">
        <f t="shared" si="25"/>
        <v>0</v>
      </c>
      <c r="G66" s="586">
        <f t="shared" si="26"/>
        <v>0</v>
      </c>
      <c r="H66" s="586">
        <f t="shared" si="27"/>
        <v>0</v>
      </c>
      <c r="I66" s="587">
        <f t="shared" si="28"/>
        <v>0</v>
      </c>
      <c r="L66" s="408" t="s">
        <v>148</v>
      </c>
      <c r="M66" s="408"/>
      <c r="N66" s="408"/>
      <c r="O66" s="408"/>
      <c r="P66" s="429">
        <v>25</v>
      </c>
      <c r="Q66" s="593"/>
      <c r="S66" s="474"/>
      <c r="T66" s="467"/>
      <c r="U66" s="475"/>
      <c r="W66" s="387">
        <v>0</v>
      </c>
      <c r="X66" s="387" t="s">
        <v>86</v>
      </c>
      <c r="AI66" s="445"/>
      <c r="AJ66" s="448"/>
    </row>
    <row r="67" spans="1:41" x14ac:dyDescent="0.25">
      <c r="A67" s="624" t="s">
        <v>77</v>
      </c>
      <c r="B67" s="586">
        <f t="shared" si="21"/>
        <v>0</v>
      </c>
      <c r="C67" s="586">
        <f t="shared" si="22"/>
        <v>0</v>
      </c>
      <c r="D67" s="586">
        <f t="shared" si="23"/>
        <v>0</v>
      </c>
      <c r="E67" s="586">
        <f t="shared" si="24"/>
        <v>0</v>
      </c>
      <c r="F67" s="586">
        <f t="shared" si="25"/>
        <v>0</v>
      </c>
      <c r="G67" s="586">
        <f t="shared" si="26"/>
        <v>0</v>
      </c>
      <c r="H67" s="586">
        <f t="shared" si="27"/>
        <v>0</v>
      </c>
      <c r="I67" s="587">
        <f t="shared" si="28"/>
        <v>0</v>
      </c>
      <c r="S67" s="474"/>
      <c r="T67" s="468"/>
      <c r="U67" s="468"/>
      <c r="W67" s="387">
        <v>10</v>
      </c>
      <c r="X67" s="387" t="s">
        <v>87</v>
      </c>
      <c r="AI67" s="445"/>
      <c r="AJ67" s="448"/>
    </row>
    <row r="68" spans="1:41" x14ac:dyDescent="0.25">
      <c r="A68" s="624" t="s">
        <v>78</v>
      </c>
      <c r="B68" s="586">
        <f t="shared" si="21"/>
        <v>0</v>
      </c>
      <c r="C68" s="586">
        <f t="shared" si="22"/>
        <v>0</v>
      </c>
      <c r="D68" s="586">
        <f t="shared" si="23"/>
        <v>0</v>
      </c>
      <c r="E68" s="586">
        <f t="shared" si="24"/>
        <v>0</v>
      </c>
      <c r="F68" s="586">
        <f t="shared" si="25"/>
        <v>0</v>
      </c>
      <c r="G68" s="586">
        <f t="shared" si="26"/>
        <v>0</v>
      </c>
      <c r="H68" s="586">
        <f t="shared" si="27"/>
        <v>0</v>
      </c>
      <c r="I68" s="587">
        <f t="shared" si="28"/>
        <v>0</v>
      </c>
      <c r="L68" s="476"/>
      <c r="M68" s="476"/>
      <c r="N68" s="476"/>
      <c r="O68" s="476"/>
      <c r="P68" s="593"/>
      <c r="Q68" s="477"/>
      <c r="R68" s="394"/>
      <c r="S68" s="469"/>
      <c r="T68" s="467"/>
      <c r="U68" s="478"/>
      <c r="W68" s="387">
        <v>20</v>
      </c>
      <c r="X68" s="387" t="s">
        <v>88</v>
      </c>
      <c r="AI68" s="445"/>
      <c r="AJ68" s="448"/>
    </row>
    <row r="69" spans="1:41" x14ac:dyDescent="0.25">
      <c r="A69" s="624" t="s">
        <v>79</v>
      </c>
      <c r="B69" s="586">
        <f>SUM(B61:B68)</f>
        <v>0</v>
      </c>
      <c r="C69" s="586">
        <f t="shared" ref="C69:I69" si="29">SUM(C61:C68)</f>
        <v>0</v>
      </c>
      <c r="D69" s="586">
        <f t="shared" si="29"/>
        <v>0</v>
      </c>
      <c r="E69" s="586">
        <f t="shared" si="29"/>
        <v>0</v>
      </c>
      <c r="F69" s="586">
        <f t="shared" si="29"/>
        <v>0</v>
      </c>
      <c r="G69" s="586">
        <f t="shared" si="29"/>
        <v>0</v>
      </c>
      <c r="H69" s="586">
        <f t="shared" si="29"/>
        <v>0</v>
      </c>
      <c r="I69" s="587">
        <f t="shared" si="29"/>
        <v>0</v>
      </c>
      <c r="L69" s="476"/>
      <c r="M69" s="476"/>
      <c r="N69" s="476"/>
      <c r="O69" s="476"/>
      <c r="P69" s="593"/>
      <c r="Q69" s="477"/>
      <c r="R69" s="394"/>
      <c r="S69" s="469"/>
      <c r="T69" s="467"/>
      <c r="U69" s="478"/>
      <c r="W69" s="387"/>
      <c r="X69" s="387"/>
    </row>
    <row r="70" spans="1:41" x14ac:dyDescent="0.25">
      <c r="A70" s="624" t="s">
        <v>286</v>
      </c>
      <c r="B70" s="586">
        <f>(SUM(B14:B21))/(B$56*B$57)</f>
        <v>0</v>
      </c>
      <c r="C70" s="586">
        <f>(SUM(D14:D21))/(C$56*C$57)</f>
        <v>0</v>
      </c>
      <c r="D70" s="586">
        <f>(SUM(F14:F21))/(D$56*D$57)</f>
        <v>0</v>
      </c>
      <c r="E70" s="586">
        <f>(SUM(H14:H21))/(E$56*E$57)</f>
        <v>0</v>
      </c>
      <c r="F70" s="586">
        <f>(SUM(B25:B32))/(F$56*F$57)</f>
        <v>0</v>
      </c>
      <c r="G70" s="586">
        <f>(SUM(D25:D32))/(G$56*G$57)</f>
        <v>0</v>
      </c>
      <c r="H70" s="586">
        <f>(SUM(F25:F32))/(H$56*H$57)</f>
        <v>0</v>
      </c>
      <c r="I70" s="587">
        <f>(SUM(H25:H32))/(I$56*I$57)</f>
        <v>0</v>
      </c>
      <c r="L70" s="476"/>
      <c r="M70" s="476"/>
      <c r="N70" s="476"/>
      <c r="O70" s="476"/>
      <c r="P70" s="593"/>
      <c r="Q70" s="477"/>
      <c r="R70" s="394"/>
      <c r="S70" s="469"/>
      <c r="T70" s="467"/>
      <c r="U70" s="478"/>
      <c r="W70" s="387"/>
      <c r="X70" s="387"/>
    </row>
    <row r="71" spans="1:41" x14ac:dyDescent="0.25">
      <c r="A71" s="624" t="s">
        <v>287</v>
      </c>
      <c r="B71" s="586">
        <f>(SUM(C14:C21))/(B$56*B$57)</f>
        <v>0</v>
      </c>
      <c r="C71" s="586">
        <f>(SUM(E14:E21))/(C$56*C$57)</f>
        <v>0</v>
      </c>
      <c r="D71" s="586">
        <f>(SUM(G14:G21))/(D$56*D$57)</f>
        <v>0</v>
      </c>
      <c r="E71" s="586">
        <f>(SUM(I14:I21))/(E$56*E$57)</f>
        <v>0</v>
      </c>
      <c r="F71" s="586">
        <f>(SUM(C25:C32))/(F$56*F$57)</f>
        <v>0</v>
      </c>
      <c r="G71" s="586">
        <f>(SUM(E25:E32))/(G$56*G$57)</f>
        <v>0</v>
      </c>
      <c r="H71" s="586">
        <f>(SUM(G25:G32))/(H$56*H$57)</f>
        <v>0</v>
      </c>
      <c r="I71" s="587">
        <f>(SUM(I25:I32))/(I$56*I$57)</f>
        <v>0</v>
      </c>
      <c r="L71" s="476"/>
      <c r="M71" s="476"/>
      <c r="N71" s="476"/>
      <c r="O71" s="476"/>
      <c r="P71" s="593"/>
      <c r="Q71" s="477"/>
      <c r="R71" s="394"/>
      <c r="S71" s="469"/>
      <c r="T71" s="467"/>
      <c r="U71" s="478"/>
      <c r="W71" s="387"/>
      <c r="X71" s="387"/>
    </row>
    <row r="72" spans="1:41" x14ac:dyDescent="0.25">
      <c r="A72" s="624" t="s">
        <v>80</v>
      </c>
      <c r="B72" s="586">
        <f>IF(SUM(B61:B68)=0,0,SUM(C62:C68)+SUM(D63:D68)+SUM(E64:E68)+SUM(F65:F68)+SUM(G66:G68)+SUM(H67:H68)+SUM(I68))</f>
        <v>0</v>
      </c>
      <c r="C72" s="586">
        <f>IF(SUM(C61:C68)=0,0,SUM(B61)+D61+SUM(D63:D68)+SUM(E64:E68)+E61+F61+SUM(F65:F68)+SUM(G66:G68)+G61+H61+SUM(H67:H68)+I61+I68)</f>
        <v>0</v>
      </c>
      <c r="D72" s="586">
        <f>IF(SUM(D61:D68)=0,0,SUM(B61:B62)+SUM(C62)+SUM(E61:E62)+SUM(E64:E68)+SUM(F61:F62)+SUM(F65:F68)+SUM(G61:G62)+SUM(G66:G68)+SUM(H61:H62)+SUM(H67:H68)+SUM(I61:I62)+I68)</f>
        <v>0</v>
      </c>
      <c r="E72" s="586">
        <f>IF(SUM(E61:E68)=0,0,SUM(B61:B63)+SUM(C62:C63)+SUM(D63)+SUM(F61:F63)+SUM(F65:F68)+SUM(G61:G63)+SUM(G66:G68)+SUM(H61:H63)+SUM(H67:H68)+SUM(I61:I63)+I68)</f>
        <v>0</v>
      </c>
      <c r="F72" s="586">
        <f>IF(SUM(F61:F68)=0,0,SUM(B61:B64)+SUM(C62:C64)+SUM(D63:D64)+SUM(E64)+SUM(G61:G64)+SUM(G66:G68)+SUM(H61:H64)+SUM(H67:H68)+SUM(I61:I64)+I68)</f>
        <v>0</v>
      </c>
      <c r="G72" s="586">
        <f>IF(SUM(G61:G68)=0,0,SUM(B61:B65)+SUM(C62:C65)+SUM(D63:D65)+SUM(E64:E65)+SUM(F65)+SUM(H61:H65)+SUM(H67:H68)+SUM(I61:I65)+I68)</f>
        <v>0</v>
      </c>
      <c r="H72" s="586">
        <f>IF(SUM(H61:H68)=0,0,SUM(B61:B66)+SUM(C62:C66)+SUM(D63:D66)+SUM(E64:E66)+SUM(F65:F66)+G66+SUM(I61:I66)+I68)</f>
        <v>0</v>
      </c>
      <c r="I72" s="587">
        <f>IF(SUM(I61:I68)=0,0,SUM(B61:B67)+SUM(C62:C67)+SUM(D63:D67)+SUM(E64:E67)+SUM(F65:F67)+SUM(G66:G67)+H67)</f>
        <v>0</v>
      </c>
      <c r="L72" s="476"/>
      <c r="M72" s="476"/>
      <c r="N72" s="476"/>
      <c r="O72" s="476"/>
      <c r="P72" s="593"/>
      <c r="Q72" s="389"/>
      <c r="R72" s="394"/>
      <c r="S72" s="474"/>
      <c r="T72" s="467"/>
      <c r="U72" s="478"/>
      <c r="W72" s="387">
        <v>35</v>
      </c>
      <c r="X72" s="387" t="s">
        <v>47</v>
      </c>
    </row>
    <row r="73" spans="1:41" x14ac:dyDescent="0.25">
      <c r="A73" s="580"/>
      <c r="B73" s="575"/>
      <c r="C73" s="575"/>
      <c r="D73" s="575"/>
      <c r="E73" s="575"/>
      <c r="F73" s="575"/>
      <c r="G73" s="575"/>
      <c r="H73" s="575"/>
      <c r="I73" s="579"/>
      <c r="L73" s="476"/>
      <c r="M73" s="476"/>
      <c r="N73" s="476"/>
      <c r="O73" s="476"/>
      <c r="P73" s="593"/>
      <c r="Q73" s="389"/>
      <c r="R73" s="394"/>
      <c r="S73" s="474"/>
      <c r="T73" s="467"/>
      <c r="U73" s="479"/>
      <c r="W73" s="387">
        <v>55</v>
      </c>
      <c r="X73" s="387" t="s">
        <v>30</v>
      </c>
    </row>
    <row r="74" spans="1:41" ht="21.75" customHeight="1" thickBot="1" x14ac:dyDescent="0.3">
      <c r="A74" s="1076" t="s">
        <v>202</v>
      </c>
      <c r="B74" s="1077"/>
      <c r="C74" s="1077"/>
      <c r="D74" s="1077"/>
      <c r="E74" s="1077"/>
      <c r="F74" s="1077"/>
      <c r="G74" s="1077"/>
      <c r="H74" s="1077"/>
      <c r="I74" s="1078"/>
      <c r="L74" s="476"/>
      <c r="M74" s="476"/>
      <c r="N74" s="476"/>
      <c r="O74" s="476"/>
      <c r="P74" s="593"/>
      <c r="Q74" s="473"/>
      <c r="R74" s="394"/>
      <c r="S74" s="474"/>
      <c r="T74" s="467"/>
      <c r="U74" s="468"/>
      <c r="W74" s="387">
        <v>80</v>
      </c>
      <c r="X74" s="387" t="s">
        <v>66</v>
      </c>
    </row>
    <row r="75" spans="1:41" ht="15.75" thickTop="1" x14ac:dyDescent="0.25">
      <c r="A75" s="759" t="s">
        <v>273</v>
      </c>
      <c r="B75" s="1079" t="s">
        <v>28</v>
      </c>
      <c r="C75" s="1080"/>
      <c r="D75" s="1079" t="s">
        <v>30</v>
      </c>
      <c r="E75" s="1080"/>
      <c r="F75" s="1079" t="s">
        <v>32</v>
      </c>
      <c r="G75" s="1080"/>
      <c r="H75" s="1079" t="s">
        <v>34</v>
      </c>
      <c r="I75" s="1081"/>
      <c r="L75" s="593"/>
      <c r="M75" s="593"/>
      <c r="N75" s="593"/>
      <c r="O75" s="593"/>
      <c r="P75" s="384"/>
      <c r="Q75" s="480"/>
      <c r="R75" s="481"/>
      <c r="S75" s="593"/>
      <c r="T75" s="593"/>
      <c r="U75" s="593"/>
    </row>
    <row r="76" spans="1:41" s="491" customFormat="1" ht="12" x14ac:dyDescent="0.2">
      <c r="A76" s="692" t="s">
        <v>312</v>
      </c>
      <c r="B76" s="684" t="str">
        <f>IF(B13="select","Lane 1",B13)</f>
        <v>Lane 1</v>
      </c>
      <c r="C76" s="685" t="str">
        <f>IF(C13="select","Lane 2",C13)</f>
        <v>Lane 2</v>
      </c>
      <c r="D76" s="686" t="str">
        <f>IF(F13="select","Lane 1",F13)</f>
        <v>Lane 1</v>
      </c>
      <c r="E76" s="687" t="str">
        <f>IF(G13="select","Lane 2",G13)</f>
        <v>Lane 2</v>
      </c>
      <c r="F76" s="688" t="str">
        <f>IF(B24="select","Lane 1",B24)</f>
        <v>Lane 1</v>
      </c>
      <c r="G76" s="685" t="str">
        <f>IF(C24="select","Lane 2",C24)</f>
        <v>Lane 2</v>
      </c>
      <c r="H76" s="686" t="str">
        <f>IF(F24="select","Lane 1",F24)</f>
        <v>Lane 1</v>
      </c>
      <c r="I76" s="691" t="str">
        <f>IF(G24="select","Lane 2",G24)</f>
        <v>Lane 2</v>
      </c>
      <c r="J76" s="486"/>
      <c r="K76" s="486"/>
      <c r="L76" s="487"/>
      <c r="M76" s="487"/>
      <c r="N76" s="487"/>
      <c r="O76" s="487"/>
      <c r="P76" s="488"/>
      <c r="Q76" s="489"/>
      <c r="R76" s="490"/>
      <c r="S76" s="487"/>
      <c r="T76" s="487"/>
      <c r="U76" s="487"/>
      <c r="V76" s="486"/>
      <c r="W76" s="486"/>
      <c r="X76" s="486"/>
      <c r="Y76" s="486"/>
      <c r="Z76" s="486"/>
      <c r="AA76" s="486"/>
      <c r="AB76" s="486"/>
      <c r="AC76" s="486"/>
      <c r="AD76" s="486"/>
      <c r="AE76" s="486"/>
      <c r="AF76" s="486"/>
      <c r="AG76" s="486"/>
      <c r="AH76" s="486"/>
      <c r="AI76" s="486"/>
      <c r="AJ76" s="486"/>
      <c r="AK76" s="486"/>
      <c r="AL76" s="486"/>
      <c r="AM76" s="486"/>
      <c r="AN76" s="486"/>
      <c r="AO76" s="486"/>
    </row>
    <row r="77" spans="1:41" x14ac:dyDescent="0.25">
      <c r="A77" s="760" t="s">
        <v>276</v>
      </c>
      <c r="B77" s="672" t="str">
        <f>IF(COUNTBLANK(B14:B21)=8,"NA",IF($B48=2,(IF($B49=1,(IF(COUNTBLANK($B14:$C21)=16,"NA",1130*EXP(-0.001*$B72)*$B57*$B58)),IF(COUNTBLANK($B14:$C21)=16,"NA",1130*EXP(-0.00075*$B72)*$B57*$B58))),(IF(COUNTBLANK($B14:$C21)=16,"NA",1130*EXP(-0.0007*$B72)*$B57*$B58))))</f>
        <v>NA</v>
      </c>
      <c r="C77" s="673" t="str">
        <f>IF(COUNTBLANK(C14:C21)=8,"NA",IF($B48=2,(IF($B49=1,(IF(COUNTBLANK($B14:$C21)=16,"NA",1130*EXP(-0.001*$B72)*$B57*$B58)),IF(COUNTBLANK($B14:$C21)=16,"NA",1130*EXP(-0.0007*$B72)*$B57*$B58))),(IF(COUNTBLANK($B14:$C21)=16,"NA",1130*EXP(-0.0007*$B72)*$B57*$B58))))</f>
        <v>NA</v>
      </c>
      <c r="D77" s="584" t="str">
        <f>IF(COUNTBLANK(F14:F21)=8,"NA",IF(D48=2,(IF(D49=1,(IF(COUNTBLANK(F14:G21)=16,"NA",1130*EXP(-0.001*D72)*D57*D58)),IF(COUNTBLANK(F14:G21)=16,"NA",1130*EXP(-0.00075*D72)*D57*D58))),(IF(COUNTBLANK(F14:G21)=16,"NA",1130*EXP(-0.0007*D72)*D57*D58))))</f>
        <v>NA</v>
      </c>
      <c r="E77" s="584" t="str">
        <f>IF(COUNTBLANK(G14:G21)=8,"NA",IF(D48=2,(IF(D49=1,(IF(COUNTBLANK(F14:G21)=16,"NA",1130*EXP(-0.001*D72)*D57*D58)),IF(COUNTBLANK(F14:G21)=16,"NA",1130*EXP(-0.0007*D72)*D57*D58))),(IF(COUNTBLANK(F14:G21)=16,"NA",1130*EXP(-0.0007*D72)*D57*D58))))</f>
        <v>NA</v>
      </c>
      <c r="F77" s="673" t="str">
        <f>IF(COUNTBLANK(B25:B32)=8,"NA",IF($F48=2,(IF($F49=1,(IF(COUNTBLANK($B25:$C32)=16,"NA",1130*EXP(-0.001*$F72)*$F57*$F58)),IF(COUNTBLANK($B25:$C32)=16,"NA",1130*EXP(-0.00075*$F72)*$F57*$F58))),(IF(COUNTBLANK($B25:$C32)=16,"NA",1130*EXP(-0.0007*$F72)*$F57*$F58))))</f>
        <v>NA</v>
      </c>
      <c r="G77" s="673" t="str">
        <f>IF(COUNTBLANK(C25:C32)=8,"NA",IF($F48=2,(IF($F49=1,(IF(COUNTBLANK($B25:$C32)=16,"NA",1130*EXP(-0.001*$F72)*$F57*$F58)),IF(COUNTBLANK($B25:$C32)=16,"NA",1130*EXP(-0.0007*$F72)*$F57*$F58))),(IF(COUNTBLANK($B25:$C32)=16,"NA",1130*EXP(-0.0007*$F72)*$F57*$F58))))</f>
        <v>NA</v>
      </c>
      <c r="H77" s="584" t="str">
        <f>IF(COUNTBLANK(F25:F32)=8,"NA",IF($H48=2,(IF($H49=1,(IF(COUNTBLANK($F25:$G32)=16,"NA",1130*EXP(-0.001*$H72)*$H57*$H58)),IF(COUNTBLANK($F25:$G32)=16,"NA",1130*EXP(-0.00075*$H72)*$H57*$H58))),(IF(COUNTBLANK($F25:$G32)=16,"NA",1130*EXP(-0.0007*$H72)*$H57*$H58))))</f>
        <v>NA</v>
      </c>
      <c r="I77" s="585" t="str">
        <f>IF(COUNTBLANK(G25:G32)=8,"NA",IF($H48=2,(IF($H49=1,(IF(COUNTBLANK($F25:$G32)=16,"NA",1130*EXP(-0.001*$H72)*$H57*$H58)),IF(COUNTBLANK($F25:$G32)=16,"NA",1130*EXP(-0.0007*$H72)*$H57*$H58))),(IF(COUNTBLANK($F25:$G32)=16,"NA",1130*EXP(-0.0007*$H72)*$H57*$H58))))</f>
        <v>NA</v>
      </c>
    </row>
    <row r="78" spans="1:41" ht="15.75" thickBot="1" x14ac:dyDescent="0.3">
      <c r="A78" s="737" t="s">
        <v>272</v>
      </c>
      <c r="B78" s="674" t="str">
        <f>IF(B77="NA","NA",B70*B57)</f>
        <v>NA</v>
      </c>
      <c r="C78" s="674" t="str">
        <f>IF(C77="NA","NA",$B71*$B57)</f>
        <v>NA</v>
      </c>
      <c r="D78" s="613" t="str">
        <f>IF(D77="NA","NA",$D70*$D57)</f>
        <v>NA</v>
      </c>
      <c r="E78" s="613" t="str">
        <f>IF(E77="NA","NA",$D71*$D57)</f>
        <v>NA</v>
      </c>
      <c r="F78" s="674" t="str">
        <f>IF(F77="NA","NA",$F70*$F57)</f>
        <v>NA</v>
      </c>
      <c r="G78" s="674" t="str">
        <f>IF(G77="NA","NA",$F71*$F57)</f>
        <v>NA</v>
      </c>
      <c r="H78" s="613" t="str">
        <f>IF(H77="NA","NA",$H70*$H57)</f>
        <v>NA</v>
      </c>
      <c r="I78" s="634" t="str">
        <f>IF(I77="NA","NA",$H71*$H57)</f>
        <v>NA</v>
      </c>
      <c r="J78" s="605"/>
      <c r="R78" s="595"/>
      <c r="S78" s="595"/>
      <c r="T78" s="595"/>
      <c r="U78" s="595"/>
      <c r="V78" s="595"/>
      <c r="W78" s="595"/>
      <c r="X78" s="595"/>
      <c r="Y78" s="398"/>
    </row>
    <row r="79" spans="1:41" ht="15.75" thickTop="1" x14ac:dyDescent="0.25">
      <c r="A79" s="761" t="s">
        <v>203</v>
      </c>
      <c r="B79" s="675" t="e">
        <f t="shared" ref="B79:I79" si="30">B78/B77</f>
        <v>#VALUE!</v>
      </c>
      <c r="C79" s="675" t="e">
        <f t="shared" si="30"/>
        <v>#VALUE!</v>
      </c>
      <c r="D79" s="612" t="e">
        <f t="shared" si="30"/>
        <v>#VALUE!</v>
      </c>
      <c r="E79" s="612" t="e">
        <f t="shared" si="30"/>
        <v>#VALUE!</v>
      </c>
      <c r="F79" s="675" t="e">
        <f t="shared" si="30"/>
        <v>#VALUE!</v>
      </c>
      <c r="G79" s="675" t="e">
        <f t="shared" si="30"/>
        <v>#VALUE!</v>
      </c>
      <c r="H79" s="612" t="e">
        <f t="shared" si="30"/>
        <v>#VALUE!</v>
      </c>
      <c r="I79" s="635" t="e">
        <f t="shared" si="30"/>
        <v>#VALUE!</v>
      </c>
      <c r="J79" s="605"/>
      <c r="R79" s="595"/>
      <c r="S79" s="595"/>
      <c r="T79" s="595"/>
      <c r="U79" s="595"/>
      <c r="V79" s="595"/>
      <c r="W79" s="595"/>
      <c r="X79" s="595"/>
      <c r="Y79" s="596"/>
    </row>
    <row r="80" spans="1:41" x14ac:dyDescent="0.25">
      <c r="A80" s="761" t="s">
        <v>311</v>
      </c>
      <c r="B80" s="676" t="e">
        <f t="shared" ref="B80:I80" si="31">3600/B77+900*0.25*(B79-1+SQRT((B79-1)^2+((3600/B77)*B79)/(450*0.25)))+(5*(MIN(B79,1)))</f>
        <v>#VALUE!</v>
      </c>
      <c r="C80" s="676" t="e">
        <f t="shared" si="31"/>
        <v>#VALUE!</v>
      </c>
      <c r="D80" s="620" t="e">
        <f t="shared" si="31"/>
        <v>#VALUE!</v>
      </c>
      <c r="E80" s="620" t="e">
        <f t="shared" si="31"/>
        <v>#VALUE!</v>
      </c>
      <c r="F80" s="676" t="e">
        <f t="shared" si="31"/>
        <v>#VALUE!</v>
      </c>
      <c r="G80" s="676" t="e">
        <f t="shared" si="31"/>
        <v>#VALUE!</v>
      </c>
      <c r="H80" s="620" t="e">
        <f t="shared" si="31"/>
        <v>#VALUE!</v>
      </c>
      <c r="I80" s="643" t="e">
        <f t="shared" si="31"/>
        <v>#VALUE!</v>
      </c>
      <c r="R80" s="595"/>
      <c r="S80" s="595"/>
      <c r="T80" s="595"/>
      <c r="U80" s="595"/>
      <c r="V80" s="595"/>
      <c r="W80" s="595"/>
      <c r="X80" s="595"/>
      <c r="Y80" s="596"/>
    </row>
    <row r="81" spans="1:41" x14ac:dyDescent="0.25">
      <c r="A81" s="760" t="s">
        <v>85</v>
      </c>
      <c r="B81" s="594" t="e">
        <f t="shared" ref="B81:I81" si="32">VLOOKUP(B80,$W59:$X64,2,TRUE)</f>
        <v>#VALUE!</v>
      </c>
      <c r="C81" s="594" t="e">
        <f t="shared" si="32"/>
        <v>#VALUE!</v>
      </c>
      <c r="D81" s="588" t="e">
        <f t="shared" si="32"/>
        <v>#VALUE!</v>
      </c>
      <c r="E81" s="588" t="e">
        <f t="shared" si="32"/>
        <v>#VALUE!</v>
      </c>
      <c r="F81" s="594" t="e">
        <f t="shared" si="32"/>
        <v>#VALUE!</v>
      </c>
      <c r="G81" s="594" t="e">
        <f t="shared" si="32"/>
        <v>#VALUE!</v>
      </c>
      <c r="H81" s="588" t="e">
        <f t="shared" si="32"/>
        <v>#VALUE!</v>
      </c>
      <c r="I81" s="589" t="e">
        <f t="shared" si="32"/>
        <v>#VALUE!</v>
      </c>
      <c r="R81" s="595"/>
      <c r="S81" s="595"/>
      <c r="T81" s="595"/>
      <c r="U81" s="595"/>
      <c r="V81" s="595"/>
      <c r="W81" s="595"/>
      <c r="X81" s="595"/>
      <c r="Y81" s="596"/>
    </row>
    <row r="82" spans="1:41" hidden="1" x14ac:dyDescent="0.25">
      <c r="A82" s="583" t="s">
        <v>180</v>
      </c>
      <c r="B82" s="594" t="e">
        <f t="shared" ref="B82:I82" si="33">VLOOKUP(B80,$W66:$X74,2,TRUE)</f>
        <v>#VALUE!</v>
      </c>
      <c r="C82" s="594" t="e">
        <f t="shared" si="33"/>
        <v>#VALUE!</v>
      </c>
      <c r="D82" s="588" t="e">
        <f t="shared" si="33"/>
        <v>#VALUE!</v>
      </c>
      <c r="E82" s="588" t="e">
        <f t="shared" si="33"/>
        <v>#VALUE!</v>
      </c>
      <c r="F82" s="594" t="e">
        <f t="shared" si="33"/>
        <v>#VALUE!</v>
      </c>
      <c r="G82" s="594" t="e">
        <f t="shared" si="33"/>
        <v>#VALUE!</v>
      </c>
      <c r="H82" s="588" t="e">
        <f t="shared" si="33"/>
        <v>#VALUE!</v>
      </c>
      <c r="I82" s="589" t="e">
        <f t="shared" si="33"/>
        <v>#VALUE!</v>
      </c>
      <c r="J82" s="605"/>
      <c r="R82" s="595"/>
      <c r="S82" s="595"/>
      <c r="T82" s="595"/>
      <c r="U82" s="595"/>
      <c r="V82" s="595"/>
      <c r="W82" s="595"/>
      <c r="X82" s="595"/>
      <c r="Y82" s="596"/>
    </row>
    <row r="83" spans="1:41" hidden="1" x14ac:dyDescent="0.25">
      <c r="A83" s="662" t="s">
        <v>133</v>
      </c>
      <c r="B83" s="677" t="e">
        <f t="shared" ref="B83:I83" si="34">225*(B$79-1+SQRT((1-B$79)^2+((3600/B$77)*B$79/37.5)))*(B$77/3600)</f>
        <v>#VALUE!</v>
      </c>
      <c r="C83" s="677" t="e">
        <f t="shared" si="34"/>
        <v>#VALUE!</v>
      </c>
      <c r="D83" s="586" t="e">
        <f t="shared" si="34"/>
        <v>#VALUE!</v>
      </c>
      <c r="E83" s="586" t="e">
        <f t="shared" si="34"/>
        <v>#VALUE!</v>
      </c>
      <c r="F83" s="677" t="e">
        <f t="shared" si="34"/>
        <v>#VALUE!</v>
      </c>
      <c r="G83" s="677" t="e">
        <f t="shared" si="34"/>
        <v>#VALUE!</v>
      </c>
      <c r="H83" s="586" t="e">
        <f t="shared" si="34"/>
        <v>#VALUE!</v>
      </c>
      <c r="I83" s="587" t="e">
        <f t="shared" si="34"/>
        <v>#VALUE!</v>
      </c>
      <c r="J83" s="605"/>
      <c r="R83" s="595"/>
      <c r="S83" s="595"/>
      <c r="T83" s="595"/>
      <c r="U83" s="595"/>
      <c r="V83" s="595"/>
      <c r="W83" s="595"/>
      <c r="X83" s="595"/>
      <c r="Y83" s="596"/>
    </row>
    <row r="84" spans="1:41" x14ac:dyDescent="0.25">
      <c r="A84" s="761" t="s">
        <v>138</v>
      </c>
      <c r="B84" s="683" t="e">
        <f t="shared" ref="B84:I84" si="35">(B83*($P$66/B57))</f>
        <v>#VALUE!</v>
      </c>
      <c r="C84" s="683" t="e">
        <f t="shared" si="35"/>
        <v>#VALUE!</v>
      </c>
      <c r="D84" s="235" t="e">
        <f t="shared" si="35"/>
        <v>#VALUE!</v>
      </c>
      <c r="E84" s="235" t="e">
        <f t="shared" si="35"/>
        <v>#VALUE!</v>
      </c>
      <c r="F84" s="683" t="e">
        <f t="shared" si="35"/>
        <v>#VALUE!</v>
      </c>
      <c r="G84" s="683" t="e">
        <f t="shared" si="35"/>
        <v>#VALUE!</v>
      </c>
      <c r="H84" s="235" t="e">
        <f t="shared" si="35"/>
        <v>#VALUE!</v>
      </c>
      <c r="I84" s="183" t="e">
        <f t="shared" si="35"/>
        <v>#VALUE!</v>
      </c>
      <c r="J84" s="593"/>
      <c r="R84" s="595"/>
      <c r="S84" s="595"/>
      <c r="T84" s="595"/>
      <c r="U84" s="595"/>
      <c r="V84" s="595"/>
      <c r="W84" s="595"/>
      <c r="X84" s="595"/>
      <c r="Y84" s="596"/>
    </row>
    <row r="85" spans="1:41" hidden="1" x14ac:dyDescent="0.25">
      <c r="A85" s="693" t="s">
        <v>314</v>
      </c>
      <c r="B85" s="694">
        <f>IFERROR(HLOOKUP("N (1)",$D$127:$I$156,26,FALSE),0)</f>
        <v>0</v>
      </c>
      <c r="C85" s="695"/>
      <c r="D85" s="694">
        <f>IFERROR(HLOOKUP("E (3)",$D$127:$I$156,26,FALSE),0)</f>
        <v>0</v>
      </c>
      <c r="E85" s="696"/>
      <c r="F85" s="694">
        <f>IFERROR(HLOOKUP("S (5)",$D$127:$I$156,26,FALSE),0)</f>
        <v>0</v>
      </c>
      <c r="G85" s="695"/>
      <c r="H85" s="694">
        <f>IFERROR(HLOOKUP("W (7)",$D$127:$I$156,26,FALSE),0)</f>
        <v>0</v>
      </c>
      <c r="I85" s="697"/>
      <c r="J85" s="593"/>
      <c r="R85" s="595"/>
      <c r="S85" s="595"/>
      <c r="T85" s="595"/>
      <c r="U85" s="595"/>
      <c r="V85" s="595"/>
      <c r="W85" s="595"/>
      <c r="X85" s="595"/>
      <c r="Y85" s="596"/>
    </row>
    <row r="86" spans="1:41" hidden="1" x14ac:dyDescent="0.25">
      <c r="A86" s="693" t="s">
        <v>315</v>
      </c>
      <c r="B86" s="698">
        <f>IFERROR(HLOOKUP("N (1)",$D$127:$I$156,24,FALSE),0)</f>
        <v>0</v>
      </c>
      <c r="C86" s="695"/>
      <c r="D86" s="698">
        <f>IFERROR(HLOOKUP("E (3)",$D$127:$I$156,24,FALSE),0)</f>
        <v>0</v>
      </c>
      <c r="E86" s="696"/>
      <c r="F86" s="694">
        <f>IFERROR(HLOOKUP("S (5)",$D$127:$I$156,24,FALSE),0)</f>
        <v>0</v>
      </c>
      <c r="G86" s="695"/>
      <c r="H86" s="694">
        <f>IFERROR(HLOOKUP("W (7)",$D$127:$I$156,24,FALSE),0)</f>
        <v>0</v>
      </c>
      <c r="I86" s="697"/>
      <c r="J86" s="593"/>
      <c r="R86" s="595"/>
      <c r="S86" s="595"/>
      <c r="T86" s="595"/>
      <c r="U86" s="595"/>
      <c r="V86" s="595"/>
      <c r="W86" s="595"/>
      <c r="X86" s="595"/>
      <c r="Y86" s="596"/>
    </row>
    <row r="87" spans="1:41" ht="13.5" customHeight="1" x14ac:dyDescent="0.25">
      <c r="A87" s="762" t="s">
        <v>309</v>
      </c>
      <c r="B87" s="1016" t="str">
        <f>IF(B78="NA",IF(C78="NA"," ",((C80*C78)+(B85*B86))/(C78+B86)),IF(C78="NA",((B80*B78)+(B85*B86))/(B78+B86),(((B80*B78)+(C80*C78)+(B85*B86)))/(B78+C78+B86)))</f>
        <v xml:space="preserve"> </v>
      </c>
      <c r="C87" s="1017"/>
      <c r="D87" s="1018" t="str">
        <f>IF(D78="NA",IF(E78="NA"," ",((E80*E78)+(D85*D86))/(E78+D86)),IF(E78="NA",((D80*D78)+(D85*D86))/(D78+D86),(((D80*D78)+(E80*E78)+(D85*D86)))/(D78+E78+D86)))</f>
        <v xml:space="preserve"> </v>
      </c>
      <c r="E87" s="1019"/>
      <c r="F87" s="1016" t="str">
        <f>IF(F78="NA",IF(G78="NA"," ",((G80*G78)+(F85*F86))/(G78+F86)),IF(G78="NA",((F80*F78)+(F85*F86))/(F78+F86),(((F80*F78)+(G80*G78)+(F85*F86)))/(F78+G78+F86)))</f>
        <v xml:space="preserve"> </v>
      </c>
      <c r="G87" s="1017"/>
      <c r="H87" s="1018" t="str">
        <f>IF(H78="NA",IF(I78="NA"," ",((I80*I78)+(H85*H86))/(I78+H86)),IF(I78="NA",((H80*H78)+(H85*H86))/(H78+H86),(((H80*H78)+(I80*I78)+(H85*H86)))/(H78+I78+H86)))</f>
        <v xml:space="preserve"> </v>
      </c>
      <c r="I87" s="1029"/>
      <c r="J87" s="593"/>
      <c r="R87" s="595"/>
      <c r="S87" s="595"/>
      <c r="T87" s="595"/>
      <c r="U87" s="595"/>
      <c r="V87" s="595"/>
      <c r="W87" s="595"/>
      <c r="X87" s="595"/>
      <c r="Y87" s="596"/>
    </row>
    <row r="88" spans="1:41" ht="13.5" customHeight="1" x14ac:dyDescent="0.25">
      <c r="A88" s="763" t="s">
        <v>310</v>
      </c>
      <c r="B88" s="989" t="e">
        <f>VLOOKUP(B87,$W59:$X64,2,TRUE)</f>
        <v>#N/A</v>
      </c>
      <c r="C88" s="990"/>
      <c r="D88" s="1030" t="e">
        <f>VLOOKUP(D87,$W59:$X64,2,TRUE)</f>
        <v>#N/A</v>
      </c>
      <c r="E88" s="1031"/>
      <c r="F88" s="1032" t="e">
        <f>VLOOKUP(F87,$W59:$X64,2,TRUE)</f>
        <v>#N/A</v>
      </c>
      <c r="G88" s="1033"/>
      <c r="H88" s="1034" t="e">
        <f>VLOOKUP(H87,$W59:$X64,2,TRUE)</f>
        <v>#N/A</v>
      </c>
      <c r="I88" s="1035"/>
      <c r="J88" s="593"/>
      <c r="R88" s="595"/>
      <c r="S88" s="595"/>
      <c r="T88" s="595"/>
      <c r="U88" s="595"/>
      <c r="V88" s="595"/>
      <c r="W88" s="595"/>
      <c r="X88" s="595"/>
      <c r="Y88" s="596"/>
    </row>
    <row r="89" spans="1:41" x14ac:dyDescent="0.25">
      <c r="A89" s="642"/>
      <c r="B89" s="1040" t="s">
        <v>29</v>
      </c>
      <c r="C89" s="972"/>
      <c r="D89" s="971" t="s">
        <v>31</v>
      </c>
      <c r="E89" s="972"/>
      <c r="F89" s="971" t="s">
        <v>33</v>
      </c>
      <c r="G89" s="972"/>
      <c r="H89" s="971" t="s">
        <v>35</v>
      </c>
      <c r="I89" s="1015"/>
      <c r="J89" s="593"/>
      <c r="R89" s="595"/>
      <c r="S89" s="595"/>
      <c r="T89" s="595"/>
      <c r="U89" s="595"/>
      <c r="V89" s="595"/>
      <c r="W89" s="595"/>
      <c r="X89" s="595"/>
      <c r="Y89" s="596"/>
    </row>
    <row r="90" spans="1:41" s="491" customFormat="1" ht="12" x14ac:dyDescent="0.2">
      <c r="A90" s="692" t="s">
        <v>312</v>
      </c>
      <c r="B90" s="689" t="str">
        <f>IF(D13="select","Lane 1",D13)</f>
        <v>Lane 1</v>
      </c>
      <c r="C90" s="687" t="str">
        <f>IF(E13="select","Lane 2",E13)</f>
        <v>Lane 2</v>
      </c>
      <c r="D90" s="688" t="str">
        <f>IF(H13="select","Lane 1",H13)</f>
        <v>Lane 1</v>
      </c>
      <c r="E90" s="685" t="str">
        <f>IF(I13="select","Lane 2",I13)</f>
        <v>Lane 2</v>
      </c>
      <c r="F90" s="686" t="str">
        <f>IF(D24="select","Lane 1",D24)</f>
        <v>Lane 1</v>
      </c>
      <c r="G90" s="687" t="str">
        <f>IF(E24="select","Lane 2",E24)</f>
        <v>Lane 2</v>
      </c>
      <c r="H90" s="688" t="str">
        <f>IF(H24="select","Lane 1",H24)</f>
        <v>Lane 1</v>
      </c>
      <c r="I90" s="690" t="str">
        <f>IF(I24="select","Lane 2",I24)</f>
        <v>Lane 2</v>
      </c>
      <c r="J90" s="487"/>
      <c r="K90" s="486"/>
      <c r="L90" s="486"/>
      <c r="M90" s="486"/>
      <c r="N90" s="486"/>
      <c r="O90" s="486"/>
      <c r="P90" s="486"/>
      <c r="Q90" s="486"/>
      <c r="R90" s="492"/>
      <c r="S90" s="492"/>
      <c r="T90" s="492"/>
      <c r="U90" s="492"/>
      <c r="V90" s="492"/>
      <c r="W90" s="492"/>
      <c r="X90" s="492"/>
      <c r="Y90" s="493"/>
      <c r="Z90" s="486"/>
      <c r="AA90" s="486"/>
      <c r="AB90" s="486"/>
      <c r="AC90" s="486"/>
      <c r="AD90" s="486"/>
      <c r="AE90" s="486"/>
      <c r="AF90" s="486"/>
      <c r="AG90" s="486"/>
      <c r="AH90" s="486"/>
      <c r="AI90" s="486"/>
      <c r="AJ90" s="486"/>
      <c r="AK90" s="486"/>
      <c r="AL90" s="486"/>
      <c r="AM90" s="486"/>
      <c r="AN90" s="486"/>
      <c r="AO90" s="486"/>
    </row>
    <row r="91" spans="1:41" x14ac:dyDescent="0.25">
      <c r="A91" s="737" t="s">
        <v>276</v>
      </c>
      <c r="B91" s="703" t="str">
        <f>IF(COUNTBLANK(D14:D21)=8,"NA",IF($C48=2,(IF($C49=1,(IF(COUNTBLANK($D14:$E21)=16,"NA",1130*EXP(-0.001*$C72)*$C57*$C58)),IF(COUNTBLANK($D14:$E21)=16,"NA",1130*EXP(-0.00075*$C72)*$C57*$C58))),(IF(COUNTBLANK($D14:$E21)=16,"NA",1130*EXP(-0.0007*$C72)*$C57*$C58))))</f>
        <v>NA</v>
      </c>
      <c r="C91" s="703" t="str">
        <f>IF(COUNTBLANK(E14:E21)=8,"NA",IF($C48=2,(IF($C49=1,(IF(COUNTBLANK($D14:$E21)=16,"NA",1130*EXP(-0.001*$C72)*$C57*$C58)),IF(COUNTBLANK($D14:$E21)=16,"NA",1130*EXP(-0.0007*$C72)*$C57*$C58))),(IF(COUNTBLANK($D14:$E21)=16,"NA",1130*EXP(-0.0007*$C72)*$C57*$C58))))</f>
        <v>NA</v>
      </c>
      <c r="D91" s="673" t="str">
        <f>IF(COUNTBLANK(H14:H21)=8,"NA",IF($E48=2,(IF($E49=1,(IF(COUNTBLANK($H14:$I21)=16,"NA",1130*EXP(-0.001*$E72)*$E57*$E58)),IF(COUNTBLANK($H14:$I21)=16,"NA",1130*EXP(-0.00075*$E72)*$E57*$E58))),(IF(COUNTBLANK($H14:$I21)=16,"NA",1130*EXP(-0.0007*$E72)*$E57*$E58))))</f>
        <v>NA</v>
      </c>
      <c r="E91" s="673" t="str">
        <f>IF(COUNTBLANK(I14:I21)=8,"NA",IF($E48=2,(IF($E49=1,(IF(COUNTBLANK($H14:$I21)=16,"NA",1130*EXP(-0.001*$E72)*$E57*$E58)),IF(COUNTBLANK($H14:$I21)=16,"NA",1130*EXP(-0.0007*$E72)*$E57*$E58))),(IF(COUNTBLANK($H14:$I21)=16,"NA",1130*EXP(-0.0007*$E72)*$E57*$E58))))</f>
        <v>NA</v>
      </c>
      <c r="F91" s="703" t="str">
        <f>IF(COUNTBLANK(D25:D32)=8,"NA",IF($G48=2,(IF($G49=1,(IF(COUNTBLANK($D25:$E32)=16,"NA",1130*EXP(-0.001*$G72)*$G57*$G58)),IF(COUNTBLANK($D25:$E32)=16,"NA",1130*EXP(-0.00075*$G72)*$G57*$G58))),(IF(COUNTBLANK($D25:$E32)=16,"NA",1130*EXP(-0.0007*$G72)*$G57*$G58))))</f>
        <v>NA</v>
      </c>
      <c r="G91" s="703" t="str">
        <f>IF(COUNTBLANK(E25:E32)=8,"NA",IF($G48=2,(IF($G49=1,(IF(COUNTBLANK($D25:$E32)=16,"NA",1130*EXP(-0.001*$G72)*$G57*$G58)),IF(COUNTBLANK($D25:$E32)=16,"NA",1130*EXP(-0.0007*$G72)*$G57*$G58))),(IF(COUNTBLANK($D25:$E32)=16,"NA",1130*EXP(-0.0007*$G72)*$G57*$G58))))</f>
        <v>NA</v>
      </c>
      <c r="H91" s="673" t="str">
        <f>IF(COUNTBLANK(H25:H32)=8,"NA",IF($I48=2,(IF($I49=1,(IF(COUNTBLANK($H25:$I32)=16,"NA",1130*EXP(-0.001*$I72)*$I57*$I58)),IF(COUNTBLANK($H25:$I32)=16,"NA",1130*EXP(-0.00075*$I72)*$I57*$I58))),(IF(COUNTBLANK($H25:$I32)=16,"NA",1130*EXP(-0.0007*$I72)*$I57*$I58))))</f>
        <v>NA</v>
      </c>
      <c r="I91" s="678" t="str">
        <f>IF(COUNTBLANK(I25:I32)=8,"NA",IF($I48=2,(IF($I49=1,(IF(COUNTBLANK($H25:$I32)=16,"NA",1130*EXP(-0.001*$I72)*$I57*$I58)),IF(COUNTBLANK($H25:$I32)=16,"NA",1130*EXP(-0.0007*$I72)*$I57*$I58))),(IF(COUNTBLANK($H25:$I32)=16,"NA",1130*EXP(-0.0007*$I72)*$I57*$I58))))</f>
        <v>NA</v>
      </c>
      <c r="J91" s="593"/>
      <c r="R91" s="595"/>
      <c r="S91" s="595"/>
      <c r="T91" s="595"/>
      <c r="U91" s="595"/>
      <c r="V91" s="595"/>
      <c r="W91" s="595"/>
      <c r="X91" s="595"/>
      <c r="Y91" s="596"/>
    </row>
    <row r="92" spans="1:41" ht="15.75" thickBot="1" x14ac:dyDescent="0.3">
      <c r="A92" s="737" t="s">
        <v>272</v>
      </c>
      <c r="B92" s="704" t="str">
        <f>IF(B91="NA","NA",C70*C57)</f>
        <v>NA</v>
      </c>
      <c r="C92" s="704" t="str">
        <f>IF(C91="NA","NA",C71*C57)</f>
        <v>NA</v>
      </c>
      <c r="D92" s="674" t="str">
        <f>IF(D91="NA","NA",E70*E57)</f>
        <v>NA</v>
      </c>
      <c r="E92" s="674" t="str">
        <f>IF(E91="NA","NA",E71*E57)</f>
        <v>NA</v>
      </c>
      <c r="F92" s="704" t="str">
        <f>IF(F91="NA","NA",G70*G57)</f>
        <v>NA</v>
      </c>
      <c r="G92" s="704" t="str">
        <f>IF(G91="NA","NA",G71*G57)</f>
        <v>NA</v>
      </c>
      <c r="H92" s="674" t="str">
        <f>IF(H91="NA","NA",I70*I57)</f>
        <v>NA</v>
      </c>
      <c r="I92" s="679" t="str">
        <f>IF(I91="NA","NA",I71*I57)</f>
        <v>NA</v>
      </c>
      <c r="J92" s="593"/>
      <c r="R92" s="595"/>
      <c r="S92" s="595"/>
      <c r="T92" s="595"/>
      <c r="U92" s="595"/>
      <c r="V92" s="595"/>
      <c r="W92" s="595"/>
      <c r="X92" s="595"/>
      <c r="Y92" s="596"/>
    </row>
    <row r="93" spans="1:41" ht="15.75" thickTop="1" x14ac:dyDescent="0.25">
      <c r="A93" s="761" t="s">
        <v>203</v>
      </c>
      <c r="B93" s="705" t="e">
        <f t="shared" ref="B93:I93" si="36">B92/B91</f>
        <v>#VALUE!</v>
      </c>
      <c r="C93" s="705" t="e">
        <f t="shared" si="36"/>
        <v>#VALUE!</v>
      </c>
      <c r="D93" s="675" t="e">
        <f t="shared" si="36"/>
        <v>#VALUE!</v>
      </c>
      <c r="E93" s="675" t="e">
        <f t="shared" si="36"/>
        <v>#VALUE!</v>
      </c>
      <c r="F93" s="705" t="e">
        <f>F92/F91</f>
        <v>#VALUE!</v>
      </c>
      <c r="G93" s="705" t="e">
        <f t="shared" si="36"/>
        <v>#VALUE!</v>
      </c>
      <c r="H93" s="675" t="e">
        <f t="shared" si="36"/>
        <v>#VALUE!</v>
      </c>
      <c r="I93" s="713" t="e">
        <f t="shared" si="36"/>
        <v>#VALUE!</v>
      </c>
      <c r="J93" s="593"/>
      <c r="R93" s="595"/>
      <c r="S93" s="595"/>
      <c r="T93" s="595"/>
      <c r="U93" s="595"/>
      <c r="V93" s="595"/>
      <c r="W93" s="595"/>
      <c r="X93" s="595"/>
      <c r="Y93" s="596"/>
    </row>
    <row r="94" spans="1:41" x14ac:dyDescent="0.25">
      <c r="A94" s="761" t="s">
        <v>204</v>
      </c>
      <c r="B94" s="706" t="e">
        <f>3600/B91+900*0.25*(B93-1+SQRT((B93-1)^2+((3600/B91)*B93)/(450*0.25)))+(5*(MIN(B93,1)))</f>
        <v>#VALUE!</v>
      </c>
      <c r="C94" s="706" t="e">
        <f t="shared" ref="C94:I94" si="37">3600/C91+900*0.25*(C93-1+SQRT((C93-1)^2+((3600/C91)*C93)/(450*0.25)))+(5*(MIN(C93,1)))</f>
        <v>#VALUE!</v>
      </c>
      <c r="D94" s="676" t="e">
        <f t="shared" si="37"/>
        <v>#VALUE!</v>
      </c>
      <c r="E94" s="676" t="e">
        <f t="shared" si="37"/>
        <v>#VALUE!</v>
      </c>
      <c r="F94" s="706" t="e">
        <f t="shared" si="37"/>
        <v>#VALUE!</v>
      </c>
      <c r="G94" s="706" t="e">
        <f t="shared" si="37"/>
        <v>#VALUE!</v>
      </c>
      <c r="H94" s="676" t="e">
        <f t="shared" si="37"/>
        <v>#VALUE!</v>
      </c>
      <c r="I94" s="714" t="e">
        <f t="shared" si="37"/>
        <v>#VALUE!</v>
      </c>
      <c r="J94" s="593"/>
      <c r="R94" s="595"/>
      <c r="S94" s="595"/>
      <c r="T94" s="595"/>
      <c r="U94" s="595"/>
      <c r="V94" s="595"/>
      <c r="W94" s="595"/>
      <c r="X94" s="595"/>
      <c r="Y94" s="596"/>
    </row>
    <row r="95" spans="1:41" x14ac:dyDescent="0.25">
      <c r="A95" s="760" t="s">
        <v>85</v>
      </c>
      <c r="B95" s="707" t="e">
        <f t="shared" ref="B95:I95" si="38">VLOOKUP(B94,$W75:$X77,2,TRUE)</f>
        <v>#VALUE!</v>
      </c>
      <c r="C95" s="707" t="e">
        <f t="shared" si="38"/>
        <v>#VALUE!</v>
      </c>
      <c r="D95" s="594" t="e">
        <f t="shared" si="38"/>
        <v>#VALUE!</v>
      </c>
      <c r="E95" s="594" t="e">
        <f t="shared" si="38"/>
        <v>#VALUE!</v>
      </c>
      <c r="F95" s="707" t="e">
        <f t="shared" si="38"/>
        <v>#VALUE!</v>
      </c>
      <c r="G95" s="707" t="e">
        <f t="shared" si="38"/>
        <v>#VALUE!</v>
      </c>
      <c r="H95" s="594" t="e">
        <f t="shared" si="38"/>
        <v>#VALUE!</v>
      </c>
      <c r="I95" s="680" t="e">
        <f t="shared" si="38"/>
        <v>#VALUE!</v>
      </c>
      <c r="J95" s="593"/>
      <c r="R95" s="595"/>
      <c r="S95" s="595"/>
      <c r="T95" s="595"/>
      <c r="U95" s="595"/>
      <c r="V95" s="595"/>
      <c r="W95" s="595"/>
      <c r="X95" s="595"/>
      <c r="Y95" s="596"/>
    </row>
    <row r="96" spans="1:41" hidden="1" x14ac:dyDescent="0.25">
      <c r="A96" s="583" t="s">
        <v>180</v>
      </c>
      <c r="B96" s="707" t="e">
        <f t="shared" ref="B96:I96" si="39">VLOOKUP(B94,$W79:$X84,2,TRUE)</f>
        <v>#VALUE!</v>
      </c>
      <c r="C96" s="707" t="e">
        <f t="shared" si="39"/>
        <v>#VALUE!</v>
      </c>
      <c r="D96" s="594" t="e">
        <f t="shared" si="39"/>
        <v>#VALUE!</v>
      </c>
      <c r="E96" s="594" t="e">
        <f t="shared" si="39"/>
        <v>#VALUE!</v>
      </c>
      <c r="F96" s="707" t="e">
        <f t="shared" si="39"/>
        <v>#VALUE!</v>
      </c>
      <c r="G96" s="707" t="e">
        <f t="shared" si="39"/>
        <v>#VALUE!</v>
      </c>
      <c r="H96" s="594" t="e">
        <f t="shared" si="39"/>
        <v>#VALUE!</v>
      </c>
      <c r="I96" s="680" t="e">
        <f t="shared" si="39"/>
        <v>#VALUE!</v>
      </c>
      <c r="J96" s="593"/>
      <c r="R96" s="595"/>
      <c r="S96" s="595"/>
      <c r="T96" s="595"/>
      <c r="U96" s="595"/>
      <c r="V96" s="595"/>
      <c r="W96" s="595"/>
      <c r="X96" s="595"/>
      <c r="Y96" s="596"/>
    </row>
    <row r="97" spans="1:42" hidden="1" x14ac:dyDescent="0.25">
      <c r="A97" s="662" t="s">
        <v>133</v>
      </c>
      <c r="B97" s="597" t="e">
        <f t="shared" ref="B97:I97" si="40">225*(B$79-1+SQRT((1-B$79)^2+((3600/B$77)*B$79/37.5)))*(B$77/3600)</f>
        <v>#VALUE!</v>
      </c>
      <c r="C97" s="597" t="e">
        <f t="shared" si="40"/>
        <v>#VALUE!</v>
      </c>
      <c r="D97" s="677" t="e">
        <f t="shared" si="40"/>
        <v>#VALUE!</v>
      </c>
      <c r="E97" s="677" t="e">
        <f t="shared" si="40"/>
        <v>#VALUE!</v>
      </c>
      <c r="F97" s="597" t="e">
        <f t="shared" si="40"/>
        <v>#VALUE!</v>
      </c>
      <c r="G97" s="597" t="e">
        <f t="shared" si="40"/>
        <v>#VALUE!</v>
      </c>
      <c r="H97" s="677" t="e">
        <f t="shared" si="40"/>
        <v>#VALUE!</v>
      </c>
      <c r="I97" s="764" t="e">
        <f t="shared" si="40"/>
        <v>#VALUE!</v>
      </c>
      <c r="J97" s="593"/>
      <c r="R97" s="595"/>
      <c r="S97" s="595"/>
      <c r="T97" s="595"/>
      <c r="U97" s="595"/>
      <c r="V97" s="595"/>
      <c r="W97" s="595"/>
      <c r="X97" s="595"/>
      <c r="Y97" s="596"/>
    </row>
    <row r="98" spans="1:42" x14ac:dyDescent="0.25">
      <c r="A98" s="761" t="s">
        <v>138</v>
      </c>
      <c r="B98" s="765" t="e">
        <f t="shared" ref="B98:I98" si="41">(B97*($P$66/B73))</f>
        <v>#VALUE!</v>
      </c>
      <c r="C98" s="765" t="e">
        <f t="shared" si="41"/>
        <v>#VALUE!</v>
      </c>
      <c r="D98" s="766" t="e">
        <f t="shared" si="41"/>
        <v>#VALUE!</v>
      </c>
      <c r="E98" s="766" t="e">
        <f t="shared" si="41"/>
        <v>#VALUE!</v>
      </c>
      <c r="F98" s="765" t="e">
        <f t="shared" si="41"/>
        <v>#VALUE!</v>
      </c>
      <c r="G98" s="765" t="e">
        <f t="shared" si="41"/>
        <v>#VALUE!</v>
      </c>
      <c r="H98" s="766" t="e">
        <f t="shared" si="41"/>
        <v>#VALUE!</v>
      </c>
      <c r="I98" s="767" t="e">
        <f t="shared" si="41"/>
        <v>#VALUE!</v>
      </c>
      <c r="J98" s="593"/>
      <c r="R98" s="595"/>
      <c r="S98" s="595"/>
      <c r="T98" s="595"/>
      <c r="U98" s="595"/>
      <c r="V98" s="595"/>
      <c r="W98" s="595"/>
      <c r="X98" s="595"/>
      <c r="Y98" s="596"/>
    </row>
    <row r="99" spans="1:42" hidden="1" x14ac:dyDescent="0.25">
      <c r="A99" s="693" t="s">
        <v>314</v>
      </c>
      <c r="B99" s="708">
        <f>IFERROR(HLOOKUP("NE (2)",$D$127:$I$156,26,FALSE),0)</f>
        <v>0</v>
      </c>
      <c r="C99" s="709"/>
      <c r="D99" s="694">
        <f>IFERROR(HLOOKUP("SE (4)",$D$127:$I$156,26,FALSE),0)</f>
        <v>0</v>
      </c>
      <c r="E99" s="699"/>
      <c r="F99" s="708">
        <f>IFERROR(HLOOKUP("SW (5)",$D$127:$I$156,26,FALSE),0)</f>
        <v>0</v>
      </c>
      <c r="G99" s="709"/>
      <c r="H99" s="694">
        <f>IFERROR(HLOOKUP("NW (8)",$D$127:$I$156,26,FALSE),0)</f>
        <v>0</v>
      </c>
      <c r="I99" s="700"/>
      <c r="J99" s="593"/>
      <c r="R99" s="595"/>
      <c r="S99" s="595"/>
      <c r="T99" s="595"/>
      <c r="U99" s="595"/>
      <c r="V99" s="595"/>
      <c r="W99" s="595"/>
      <c r="X99" s="595"/>
      <c r="Y99" s="596"/>
    </row>
    <row r="100" spans="1:42" hidden="1" x14ac:dyDescent="0.25">
      <c r="A100" s="693" t="s">
        <v>315</v>
      </c>
      <c r="B100" s="708">
        <f>IFERROR(HLOOKUP("NE (2)",$D$127:$I$156,24,FALSE),0)</f>
        <v>0</v>
      </c>
      <c r="C100" s="709"/>
      <c r="D100" s="694">
        <f>IFERROR(HLOOKUP("SE (4)",$D$127:$I$156,24,FALSE),0)</f>
        <v>0</v>
      </c>
      <c r="E100" s="699"/>
      <c r="F100" s="708">
        <f>IFERROR(HLOOKUP("SW (5)",$D$127:$I$156,24,FALSE),0)</f>
        <v>0</v>
      </c>
      <c r="G100" s="709"/>
      <c r="H100" s="694">
        <f>IFERROR(HLOOKUP("NW (8)",$D$127:$I$156,26,FALSE),0)</f>
        <v>0</v>
      </c>
      <c r="I100" s="702"/>
      <c r="J100" s="593"/>
      <c r="R100" s="595"/>
      <c r="S100" s="595"/>
      <c r="T100" s="595"/>
      <c r="U100" s="595"/>
      <c r="V100" s="595"/>
      <c r="W100" s="595"/>
      <c r="X100" s="595"/>
      <c r="Y100" s="596"/>
    </row>
    <row r="101" spans="1:42" ht="13.5" customHeight="1" x14ac:dyDescent="0.25">
      <c r="A101" s="762" t="s">
        <v>309</v>
      </c>
      <c r="B101" s="1018" t="str">
        <f>IF(B92="NA",IF(C92="NA"," ",((C94*C92)+(B99*B100))/(C92+B100)),IF(C92="NA",((B94*B92)+(B99*B100))/(B92+B100),(((B94*B92)+(C94*C92)+(B99*B100)))/(B92+C92+B100)))</f>
        <v xml:space="preserve"> </v>
      </c>
      <c r="C101" s="1019"/>
      <c r="D101" s="1016" t="str">
        <f t="shared" ref="D101" si="42">IF(D92="NA",IF(E92="NA"," ",((E94*E92)+(D99*D100))/(E92+D100)),IF(E92="NA",((D94*D92)+(D99*D100))/(D92+D100),(((D94*D92)+(E94*E92)+(D99*D100)))/(D92+E92+D100)))</f>
        <v xml:space="preserve"> </v>
      </c>
      <c r="E101" s="1017"/>
      <c r="F101" s="1018" t="str">
        <f t="shared" ref="F101" si="43">IF(F92="NA",IF(G92="NA"," ",((G94*G92)+(F99*F100))/(G92+F100)),IF(G92="NA",((F94*F92)+(F99*F100))/(F92+F100),(((F94*F92)+(G94*G92)+(F99*F100)))/(F92+G92+F100)))</f>
        <v xml:space="preserve"> </v>
      </c>
      <c r="G101" s="1019"/>
      <c r="H101" s="1016" t="str">
        <f t="shared" ref="H101" si="44">IF(H92="NA",IF(I92="NA"," ",((I94*I92)+(H99*H100))/(I92+H100)),IF(I92="NA",((H94*H92)+(H99*H100))/(H92+H100),(((H94*H92)+(I94*I92)+(H99*H100)))/(H92+I92+H100)))</f>
        <v xml:space="preserve"> </v>
      </c>
      <c r="I101" s="1041"/>
      <c r="J101" s="593"/>
      <c r="R101" s="595"/>
      <c r="S101" s="595"/>
      <c r="T101" s="595"/>
      <c r="U101" s="595"/>
      <c r="V101" s="595"/>
      <c r="W101" s="595"/>
      <c r="X101" s="595"/>
      <c r="Y101" s="596"/>
    </row>
    <row r="102" spans="1:42" ht="13.5" customHeight="1" x14ac:dyDescent="0.25">
      <c r="A102" s="762" t="s">
        <v>310</v>
      </c>
      <c r="B102" s="1049" t="e">
        <f>VLOOKUP(B101,$W71:$X76,2,TRUE)</f>
        <v>#N/A</v>
      </c>
      <c r="C102" s="1050"/>
      <c r="D102" s="1051" t="e">
        <f>VLOOKUP(D101,$W71:$X76,2,TRUE)</f>
        <v>#N/A</v>
      </c>
      <c r="E102" s="1052"/>
      <c r="F102" s="1049" t="e">
        <f>VLOOKUP(F101,$W71:$X76,2,TRUE)</f>
        <v>#N/A</v>
      </c>
      <c r="G102" s="1050"/>
      <c r="H102" s="989" t="e">
        <f>VLOOKUP(H101,$W71:$X76,2,TRUE)</f>
        <v>#N/A</v>
      </c>
      <c r="I102" s="995"/>
      <c r="J102" s="593"/>
      <c r="R102" s="595"/>
      <c r="S102" s="595"/>
      <c r="T102" s="595"/>
      <c r="U102" s="595"/>
      <c r="V102" s="595"/>
      <c r="W102" s="595"/>
      <c r="X102" s="595"/>
      <c r="Y102" s="596"/>
    </row>
    <row r="103" spans="1:42" ht="9" customHeight="1" thickBot="1" x14ac:dyDescent="0.3">
      <c r="A103" s="630"/>
      <c r="B103" s="739"/>
      <c r="C103" s="739"/>
      <c r="D103" s="739"/>
      <c r="E103" s="739"/>
      <c r="F103" s="739"/>
      <c r="G103" s="739"/>
      <c r="H103" s="739"/>
      <c r="I103" s="604"/>
      <c r="R103" s="595"/>
      <c r="S103" s="595"/>
      <c r="T103" s="595"/>
      <c r="U103" s="595"/>
      <c r="V103" s="595"/>
      <c r="W103" s="595"/>
      <c r="X103" s="595"/>
      <c r="Y103" s="596"/>
    </row>
    <row r="104" spans="1:42" s="591" customFormat="1" ht="15.75" thickTop="1" x14ac:dyDescent="0.25">
      <c r="A104" s="768" t="s">
        <v>263</v>
      </c>
      <c r="B104" s="734" t="s">
        <v>28</v>
      </c>
      <c r="C104" s="769" t="s">
        <v>29</v>
      </c>
      <c r="D104" s="769" t="s">
        <v>30</v>
      </c>
      <c r="E104" s="769" t="s">
        <v>31</v>
      </c>
      <c r="F104" s="770" t="s">
        <v>32</v>
      </c>
      <c r="G104" s="734" t="s">
        <v>33</v>
      </c>
      <c r="H104" s="769" t="s">
        <v>34</v>
      </c>
      <c r="I104" s="771" t="s">
        <v>35</v>
      </c>
      <c r="R104" s="595"/>
      <c r="S104" s="595"/>
      <c r="T104" s="595"/>
      <c r="U104" s="595"/>
      <c r="V104" s="595"/>
      <c r="W104" s="595"/>
      <c r="X104" s="595"/>
      <c r="Y104" s="596"/>
      <c r="AP104" s="574"/>
    </row>
    <row r="105" spans="1:42" s="591" customFormat="1" x14ac:dyDescent="0.25">
      <c r="A105" s="662" t="s">
        <v>338</v>
      </c>
      <c r="B105" s="772" t="str">
        <f>IF(B49=1,(IF(COUNTBLANK(B14:C21)=16,"NA",(1212-0.5447*B$72))),(IF(COUNTBLANK(B14:C21)=16,"NA",2424-0.7159*B$72)))</f>
        <v>NA</v>
      </c>
      <c r="C105" s="772" t="str">
        <f>IF(C49=1,(IF(COUNTBLANK(D14:E21)=16,"NA",(1212-0.5447*C$72))),(IF(COUNTBLANK(D14:E21)=16,"NA",2424-0.7159*C$72)))</f>
        <v>NA</v>
      </c>
      <c r="D105" s="772" t="str">
        <f>IF(D49=1,(IF(COUNTBLANK(F14:G21)=16,"NA",(1212-0.5447*D$72))),(IF(COUNTBLANK(F14:G21)=16,"NA",2424-0.7159*D$72)))</f>
        <v>NA</v>
      </c>
      <c r="E105" s="772" t="str">
        <f>IF(E49=1,(IF(COUNTBLANK(H14:I21)=16,"NA",(1212-0.5447*E$72))),(IF(COUNTBLANK(H14:I21)=16,"NA",2424-0.7159*E$72)))</f>
        <v>NA</v>
      </c>
      <c r="F105" s="772" t="str">
        <f>IF(F49=1,(IF(COUNTBLANK(B25:C32)=16,"NA",(1212-0.5447*F$72))),(IF(COUNTBLANK(B25:C32)=16,"NA",2424-0.7159*F$72)))</f>
        <v>NA</v>
      </c>
      <c r="G105" s="772" t="str">
        <f>IF(G49=1,(IF(COUNTBLANK(D25:E32)=16,"NA",(1212-0.5447*G$72))),(IF(COUNTBLANK(D25:E32)=16,"NA",2424-0.7159*G$72)))</f>
        <v>NA</v>
      </c>
      <c r="H105" s="772" t="str">
        <f>IF(H49=1,(IF(COUNTBLANK(F25:G32)=16,"NA",(1212-0.5447*H$72))),(IF(COUNTBLANK(F25:G32)=16,"NA",2424-0.7159*H$72)))</f>
        <v>NA</v>
      </c>
      <c r="I105" s="773" t="str">
        <f>IF(I49=1,(IF(COUNTBLANK(H25:I32)=16,"NA",(1212-0.5447*I$72))),(IF(COUNTBLANK(H25:I32)=16,"NA",2424-0.7159*I$72)))</f>
        <v>NA</v>
      </c>
      <c r="J105" s="593"/>
      <c r="R105" s="595"/>
      <c r="S105" s="595"/>
      <c r="T105" s="595"/>
      <c r="U105" s="595"/>
      <c r="V105" s="595"/>
      <c r="W105" s="595"/>
      <c r="X105" s="595"/>
      <c r="Y105" s="596"/>
      <c r="AP105" s="574"/>
    </row>
    <row r="106" spans="1:42" s="591" customFormat="1" ht="15.75" thickBot="1" x14ac:dyDescent="0.3">
      <c r="A106" s="760" t="s">
        <v>339</v>
      </c>
      <c r="B106" s="613">
        <f>B$45/(B$56*B$57)</f>
        <v>0</v>
      </c>
      <c r="C106" s="613">
        <f t="shared" ref="C106:I106" si="45">C$45/(C$56*C$57)</f>
        <v>0</v>
      </c>
      <c r="D106" s="613">
        <f t="shared" si="45"/>
        <v>0</v>
      </c>
      <c r="E106" s="613">
        <f t="shared" si="45"/>
        <v>0</v>
      </c>
      <c r="F106" s="613">
        <f t="shared" si="45"/>
        <v>0</v>
      </c>
      <c r="G106" s="613">
        <f t="shared" si="45"/>
        <v>0</v>
      </c>
      <c r="H106" s="613">
        <f t="shared" si="45"/>
        <v>0</v>
      </c>
      <c r="I106" s="634">
        <f t="shared" si="45"/>
        <v>0</v>
      </c>
      <c r="J106" s="593"/>
      <c r="R106" s="595"/>
      <c r="S106" s="595"/>
      <c r="T106" s="595"/>
      <c r="U106" s="595"/>
      <c r="V106" s="595"/>
      <c r="W106" s="595"/>
      <c r="X106" s="595"/>
      <c r="Y106" s="596"/>
      <c r="AP106" s="574"/>
    </row>
    <row r="107" spans="1:42" s="591" customFormat="1" ht="15.75" thickTop="1" x14ac:dyDescent="0.25">
      <c r="A107" s="761" t="s">
        <v>203</v>
      </c>
      <c r="B107" s="612" t="e">
        <f t="shared" ref="B107:I107" si="46">B106/B105</f>
        <v>#VALUE!</v>
      </c>
      <c r="C107" s="612" t="e">
        <f t="shared" si="46"/>
        <v>#VALUE!</v>
      </c>
      <c r="D107" s="612" t="e">
        <f t="shared" si="46"/>
        <v>#VALUE!</v>
      </c>
      <c r="E107" s="612" t="e">
        <f t="shared" si="46"/>
        <v>#VALUE!</v>
      </c>
      <c r="F107" s="612" t="e">
        <f t="shared" si="46"/>
        <v>#VALUE!</v>
      </c>
      <c r="G107" s="612" t="e">
        <f t="shared" si="46"/>
        <v>#VALUE!</v>
      </c>
      <c r="H107" s="612" t="e">
        <f t="shared" si="46"/>
        <v>#VALUE!</v>
      </c>
      <c r="I107" s="635" t="e">
        <f t="shared" si="46"/>
        <v>#VALUE!</v>
      </c>
      <c r="R107" s="595"/>
      <c r="S107" s="595"/>
      <c r="T107" s="595"/>
      <c r="U107" s="595"/>
      <c r="V107" s="595"/>
      <c r="W107" s="595"/>
      <c r="X107" s="595"/>
      <c r="Y107" s="596"/>
      <c r="AP107" s="574"/>
    </row>
    <row r="108" spans="1:42" s="591" customFormat="1" x14ac:dyDescent="0.25">
      <c r="A108" s="761" t="s">
        <v>204</v>
      </c>
      <c r="B108" s="620" t="e">
        <f>3600/B105+900*0.25*(B107-1+SQRT((B107-1)^2+((3600/B105)*B107)/(450*0.25)))+(5*(MIN(B107,1)))</f>
        <v>#VALUE!</v>
      </c>
      <c r="C108" s="620" t="e">
        <f t="shared" ref="C108:I108" si="47">3600/C105+900*0.25*(C107-1+SQRT((C107-1)^2+((3600/C105)*C107)/(450*0.25)))+(5*(MIN(C107,1)))</f>
        <v>#VALUE!</v>
      </c>
      <c r="D108" s="620" t="e">
        <f t="shared" si="47"/>
        <v>#VALUE!</v>
      </c>
      <c r="E108" s="620" t="e">
        <f t="shared" si="47"/>
        <v>#VALUE!</v>
      </c>
      <c r="F108" s="620" t="e">
        <f t="shared" si="47"/>
        <v>#VALUE!</v>
      </c>
      <c r="G108" s="620" t="e">
        <f t="shared" si="47"/>
        <v>#VALUE!</v>
      </c>
      <c r="H108" s="620" t="e">
        <f t="shared" si="47"/>
        <v>#VALUE!</v>
      </c>
      <c r="I108" s="643" t="e">
        <f t="shared" si="47"/>
        <v>#VALUE!</v>
      </c>
      <c r="R108" s="595"/>
      <c r="S108" s="595"/>
      <c r="T108" s="595"/>
      <c r="U108" s="595"/>
      <c r="V108" s="595"/>
      <c r="W108" s="595"/>
      <c r="X108" s="595"/>
      <c r="Y108" s="596"/>
      <c r="AP108" s="574"/>
    </row>
    <row r="109" spans="1:42" s="591" customFormat="1" x14ac:dyDescent="0.25">
      <c r="A109" s="760" t="s">
        <v>85</v>
      </c>
      <c r="B109" s="588" t="e">
        <f t="shared" ref="B109:I109" si="48">VLOOKUP(B108,$W59:$X64,2,TRUE)</f>
        <v>#VALUE!</v>
      </c>
      <c r="C109" s="588" t="e">
        <f t="shared" si="48"/>
        <v>#VALUE!</v>
      </c>
      <c r="D109" s="588" t="e">
        <f t="shared" si="48"/>
        <v>#VALUE!</v>
      </c>
      <c r="E109" s="588" t="e">
        <f t="shared" si="48"/>
        <v>#VALUE!</v>
      </c>
      <c r="F109" s="588" t="e">
        <f t="shared" si="48"/>
        <v>#VALUE!</v>
      </c>
      <c r="G109" s="588" t="e">
        <f t="shared" si="48"/>
        <v>#VALUE!</v>
      </c>
      <c r="H109" s="588" t="e">
        <f t="shared" si="48"/>
        <v>#VALUE!</v>
      </c>
      <c r="I109" s="589" t="e">
        <f t="shared" si="48"/>
        <v>#VALUE!</v>
      </c>
      <c r="R109" s="595"/>
      <c r="S109" s="595"/>
      <c r="T109" s="595"/>
      <c r="U109" s="595"/>
      <c r="V109" s="595"/>
      <c r="W109" s="595"/>
      <c r="X109" s="595"/>
      <c r="Y109" s="596"/>
      <c r="AP109" s="574"/>
    </row>
    <row r="110" spans="1:42" s="591" customFormat="1" hidden="1" x14ac:dyDescent="0.25">
      <c r="A110" s="760" t="s">
        <v>133</v>
      </c>
      <c r="B110" s="586" t="e">
        <f t="shared" ref="B110:I110" si="49">225*(B$107-1+SQRT((1-B$107)^2+((3600/B$105)*B$107/37.5)))*(B$105/3600)</f>
        <v>#VALUE!</v>
      </c>
      <c r="C110" s="586" t="e">
        <f t="shared" si="49"/>
        <v>#VALUE!</v>
      </c>
      <c r="D110" s="586" t="e">
        <f t="shared" si="49"/>
        <v>#VALUE!</v>
      </c>
      <c r="E110" s="586" t="e">
        <f t="shared" si="49"/>
        <v>#VALUE!</v>
      </c>
      <c r="F110" s="586" t="e">
        <f t="shared" si="49"/>
        <v>#VALUE!</v>
      </c>
      <c r="G110" s="586" t="e">
        <f t="shared" si="49"/>
        <v>#VALUE!</v>
      </c>
      <c r="H110" s="586" t="e">
        <f t="shared" si="49"/>
        <v>#VALUE!</v>
      </c>
      <c r="I110" s="587" t="e">
        <f t="shared" si="49"/>
        <v>#VALUE!</v>
      </c>
      <c r="R110" s="595"/>
      <c r="S110" s="595"/>
      <c r="T110" s="595"/>
      <c r="U110" s="595"/>
      <c r="V110" s="595"/>
      <c r="W110" s="595"/>
      <c r="X110" s="595"/>
      <c r="Y110" s="596"/>
      <c r="AP110" s="574"/>
    </row>
    <row r="111" spans="1:42" s="591" customFormat="1" ht="15.75" thickBot="1" x14ac:dyDescent="0.3">
      <c r="A111" s="774" t="s">
        <v>138</v>
      </c>
      <c r="B111" s="647" t="e">
        <f t="shared" ref="B111:I111" si="50">(B110*($P$66/B57))</f>
        <v>#VALUE!</v>
      </c>
      <c r="C111" s="647" t="e">
        <f t="shared" si="50"/>
        <v>#VALUE!</v>
      </c>
      <c r="D111" s="647" t="e">
        <f t="shared" si="50"/>
        <v>#VALUE!</v>
      </c>
      <c r="E111" s="647" t="e">
        <f t="shared" si="50"/>
        <v>#VALUE!</v>
      </c>
      <c r="F111" s="647" t="e">
        <f t="shared" si="50"/>
        <v>#VALUE!</v>
      </c>
      <c r="G111" s="647" t="e">
        <f t="shared" si="50"/>
        <v>#VALUE!</v>
      </c>
      <c r="H111" s="647" t="e">
        <f t="shared" si="50"/>
        <v>#VALUE!</v>
      </c>
      <c r="I111" s="646" t="e">
        <f t="shared" si="50"/>
        <v>#VALUE!</v>
      </c>
      <c r="R111" s="595"/>
      <c r="S111" s="595"/>
      <c r="T111" s="595"/>
      <c r="U111" s="595"/>
      <c r="V111" s="595"/>
      <c r="W111" s="595"/>
      <c r="X111" s="595"/>
      <c r="Y111" s="596"/>
      <c r="AP111" s="574"/>
    </row>
    <row r="112" spans="1:42" s="591" customFormat="1" x14ac:dyDescent="0.25">
      <c r="A112" s="775" t="s">
        <v>149</v>
      </c>
      <c r="B112" s="471"/>
      <c r="C112" s="577"/>
      <c r="D112" s="574"/>
      <c r="E112" s="574"/>
      <c r="F112" s="574"/>
      <c r="G112" s="574"/>
      <c r="H112" s="574"/>
      <c r="I112" s="574"/>
      <c r="R112" s="595"/>
      <c r="S112" s="595"/>
      <c r="T112" s="595"/>
      <c r="U112" s="595"/>
      <c r="V112" s="595"/>
      <c r="W112" s="595"/>
      <c r="X112" s="595"/>
      <c r="Y112" s="596"/>
      <c r="AP112" s="574"/>
    </row>
    <row r="113" spans="1:42" s="591" customFormat="1" x14ac:dyDescent="0.25">
      <c r="A113" s="410"/>
      <c r="B113" s="665"/>
      <c r="C113" s="776"/>
      <c r="D113" s="776"/>
      <c r="E113" s="776"/>
      <c r="F113" s="574"/>
      <c r="G113" s="381" t="s">
        <v>205</v>
      </c>
      <c r="H113" s="574"/>
      <c r="I113" s="574"/>
      <c r="R113" s="595"/>
      <c r="S113" s="595"/>
      <c r="T113" s="595"/>
      <c r="U113" s="595"/>
      <c r="V113" s="595"/>
      <c r="W113" s="595"/>
      <c r="X113" s="595"/>
      <c r="Y113" s="596"/>
      <c r="AP113" s="574"/>
    </row>
    <row r="114" spans="1:42" s="591" customFormat="1" x14ac:dyDescent="0.25">
      <c r="A114" s="776"/>
      <c r="B114" s="776"/>
      <c r="C114" s="776"/>
      <c r="D114" s="776"/>
      <c r="E114" s="776"/>
      <c r="F114" s="574"/>
      <c r="G114" s="576" t="s">
        <v>206</v>
      </c>
      <c r="H114" s="574"/>
      <c r="I114" s="574"/>
      <c r="R114" s="595"/>
      <c r="S114" s="595"/>
      <c r="T114" s="595"/>
      <c r="U114" s="595"/>
      <c r="V114" s="595"/>
      <c r="W114" s="595"/>
      <c r="X114" s="595"/>
      <c r="Y114" s="596"/>
      <c r="AP114" s="574"/>
    </row>
    <row r="115" spans="1:42" s="591" customFormat="1" x14ac:dyDescent="0.25">
      <c r="A115" s="776"/>
      <c r="B115" s="776"/>
      <c r="C115" s="776"/>
      <c r="D115" s="776"/>
      <c r="E115" s="776"/>
      <c r="F115" s="777"/>
      <c r="G115" s="576" t="s">
        <v>207</v>
      </c>
      <c r="H115" s="574"/>
      <c r="I115" s="574"/>
      <c r="R115" s="595"/>
      <c r="S115" s="595"/>
      <c r="T115" s="595"/>
      <c r="U115" s="595"/>
      <c r="V115" s="595"/>
      <c r="W115" s="595"/>
      <c r="X115" s="595"/>
      <c r="Y115" s="596"/>
      <c r="AP115" s="574"/>
    </row>
    <row r="116" spans="1:42" s="591" customFormat="1" ht="18" x14ac:dyDescent="0.35">
      <c r="A116" s="776"/>
      <c r="B116" s="776"/>
      <c r="C116" s="776"/>
      <c r="D116" s="776"/>
      <c r="E116" s="776"/>
      <c r="F116" s="574"/>
      <c r="G116" s="462" t="s">
        <v>208</v>
      </c>
      <c r="H116" s="576"/>
      <c r="I116" s="574"/>
      <c r="R116" s="595"/>
      <c r="S116" s="595"/>
      <c r="T116" s="595"/>
      <c r="U116" s="595"/>
      <c r="V116" s="595"/>
      <c r="W116" s="595"/>
      <c r="X116" s="595"/>
      <c r="Y116" s="596"/>
      <c r="AP116" s="574"/>
    </row>
    <row r="117" spans="1:42" s="591" customFormat="1" x14ac:dyDescent="0.25">
      <c r="A117" s="776"/>
      <c r="B117" s="776"/>
      <c r="C117" s="776"/>
      <c r="D117" s="776"/>
      <c r="E117" s="776"/>
      <c r="F117" s="574"/>
      <c r="G117" s="727" t="s">
        <v>209</v>
      </c>
      <c r="H117" s="651"/>
      <c r="I117" s="574"/>
      <c r="R117" s="595"/>
      <c r="S117" s="595"/>
      <c r="T117" s="595"/>
      <c r="U117" s="595"/>
      <c r="V117" s="595"/>
      <c r="W117" s="595"/>
      <c r="X117" s="595"/>
      <c r="Y117" s="596"/>
      <c r="AP117" s="574"/>
    </row>
    <row r="118" spans="1:42" s="591" customFormat="1" x14ac:dyDescent="0.25">
      <c r="A118" s="776"/>
      <c r="B118" s="776"/>
      <c r="C118" s="776"/>
      <c r="D118" s="776"/>
      <c r="E118" s="776"/>
      <c r="F118" s="574"/>
      <c r="G118" s="574"/>
      <c r="H118" s="574"/>
      <c r="I118" s="574"/>
      <c r="R118" s="595"/>
      <c r="S118" s="595"/>
      <c r="T118" s="595"/>
      <c r="U118" s="595"/>
      <c r="V118" s="595"/>
      <c r="W118" s="595"/>
      <c r="X118" s="595"/>
      <c r="Y118" s="596"/>
      <c r="AP118" s="574"/>
    </row>
    <row r="119" spans="1:42" s="591" customFormat="1" hidden="1" x14ac:dyDescent="0.25">
      <c r="A119" s="776"/>
      <c r="B119" s="776"/>
      <c r="C119" s="776"/>
      <c r="D119" s="776"/>
      <c r="E119" s="776"/>
      <c r="F119" s="574"/>
      <c r="G119" s="574"/>
      <c r="H119" s="574"/>
      <c r="I119" s="574"/>
      <c r="R119" s="595"/>
      <c r="S119" s="595"/>
      <c r="T119" s="595"/>
      <c r="U119" s="595"/>
      <c r="V119" s="595"/>
      <c r="W119" s="595"/>
      <c r="X119" s="595"/>
      <c r="Y119" s="596"/>
      <c r="AP119" s="574"/>
    </row>
    <row r="120" spans="1:42" s="591" customFormat="1" hidden="1" x14ac:dyDescent="0.25">
      <c r="A120" s="576"/>
      <c r="B120" s="576"/>
      <c r="C120" s="576"/>
      <c r="D120" s="576"/>
      <c r="E120" s="576"/>
      <c r="F120" s="576"/>
      <c r="I120" s="576"/>
      <c r="R120" s="595"/>
      <c r="S120" s="595"/>
      <c r="T120" s="595"/>
      <c r="U120" s="595"/>
      <c r="V120" s="595"/>
      <c r="W120" s="595"/>
      <c r="X120" s="595"/>
      <c r="Y120" s="596"/>
    </row>
    <row r="121" spans="1:42" s="591" customFormat="1" hidden="1" x14ac:dyDescent="0.25">
      <c r="A121" s="651"/>
      <c r="B121" s="651"/>
      <c r="C121" s="651"/>
      <c r="D121" s="651"/>
      <c r="E121" s="651"/>
      <c r="F121" s="651"/>
      <c r="I121" s="651"/>
      <c r="R121" s="595"/>
      <c r="S121" s="595"/>
      <c r="T121" s="595"/>
      <c r="U121" s="595"/>
      <c r="V121" s="595"/>
      <c r="W121" s="595"/>
      <c r="X121" s="595"/>
      <c r="Y121" s="596"/>
    </row>
    <row r="122" spans="1:42" s="591" customFormat="1" hidden="1" x14ac:dyDescent="0.25">
      <c r="A122" s="641"/>
      <c r="B122" s="641"/>
      <c r="C122" s="641"/>
      <c r="D122" s="650"/>
      <c r="E122" s="650"/>
      <c r="F122" s="650"/>
      <c r="H122" s="650"/>
      <c r="I122" s="650"/>
      <c r="R122" s="595"/>
      <c r="S122" s="595"/>
      <c r="T122" s="595"/>
      <c r="U122" s="595"/>
      <c r="V122" s="595"/>
      <c r="W122" s="595"/>
      <c r="X122" s="595"/>
      <c r="Y122" s="596"/>
    </row>
    <row r="123" spans="1:42" s="591" customFormat="1" hidden="1" x14ac:dyDescent="0.25">
      <c r="A123" s="652"/>
      <c r="B123" s="652"/>
      <c r="C123" s="652"/>
      <c r="D123" s="653"/>
      <c r="E123" s="653"/>
      <c r="F123" s="653"/>
      <c r="G123" s="653"/>
      <c r="H123" s="653"/>
      <c r="I123" s="653"/>
    </row>
    <row r="124" spans="1:42" s="591" customFormat="1" ht="15.75" thickBot="1" x14ac:dyDescent="0.3">
      <c r="A124" s="1073" t="s">
        <v>216</v>
      </c>
      <c r="B124" s="1074"/>
      <c r="C124" s="1074"/>
      <c r="D124" s="1074"/>
      <c r="E124" s="1074"/>
      <c r="F124" s="1074"/>
      <c r="G124" s="1074"/>
      <c r="H124" s="1074"/>
      <c r="I124" s="1075"/>
      <c r="P124" s="455"/>
    </row>
    <row r="125" spans="1:42" s="591" customFormat="1" ht="15.75" thickTop="1" x14ac:dyDescent="0.25">
      <c r="A125" s="431"/>
      <c r="B125" s="610"/>
      <c r="C125" s="610"/>
      <c r="D125" s="1068" t="s">
        <v>172</v>
      </c>
      <c r="E125" s="1068" t="s">
        <v>176</v>
      </c>
      <c r="F125" s="1068" t="s">
        <v>177</v>
      </c>
      <c r="G125" s="1068" t="s">
        <v>178</v>
      </c>
      <c r="H125" s="955" t="s">
        <v>179</v>
      </c>
      <c r="I125" s="1066" t="s">
        <v>188</v>
      </c>
    </row>
    <row r="126" spans="1:42" s="591" customFormat="1" x14ac:dyDescent="0.25">
      <c r="A126" s="1069" t="s">
        <v>174</v>
      </c>
      <c r="B126" s="1070"/>
      <c r="C126" s="1071"/>
      <c r="D126" s="956"/>
      <c r="E126" s="956"/>
      <c r="F126" s="956"/>
      <c r="G126" s="956"/>
      <c r="H126" s="956"/>
      <c r="I126" s="1067"/>
    </row>
    <row r="127" spans="1:42" s="591" customFormat="1" x14ac:dyDescent="0.25">
      <c r="A127" s="946" t="s">
        <v>183</v>
      </c>
      <c r="B127" s="1072"/>
      <c r="C127" s="947"/>
      <c r="D127" s="639"/>
      <c r="E127" s="639"/>
      <c r="F127" s="639"/>
      <c r="G127" s="639"/>
      <c r="H127" s="639"/>
      <c r="I127" s="656"/>
    </row>
    <row r="128" spans="1:42" s="591" customFormat="1" x14ac:dyDescent="0.25">
      <c r="A128" s="948" t="s">
        <v>173</v>
      </c>
      <c r="B128" s="1055"/>
      <c r="C128" s="1055"/>
      <c r="D128" s="639"/>
      <c r="E128" s="639"/>
      <c r="F128" s="639"/>
      <c r="G128" s="639"/>
      <c r="H128" s="639"/>
      <c r="I128" s="656"/>
    </row>
    <row r="129" spans="1:9" s="591" customFormat="1" x14ac:dyDescent="0.25">
      <c r="A129" s="701" t="s">
        <v>313</v>
      </c>
      <c r="B129" s="736"/>
      <c r="C129" s="736"/>
      <c r="D129" s="639"/>
      <c r="E129" s="639"/>
      <c r="F129" s="639"/>
      <c r="G129" s="639"/>
      <c r="H129" s="639"/>
      <c r="I129" s="657"/>
    </row>
    <row r="130" spans="1:9" s="591" customFormat="1" ht="15" customHeight="1" x14ac:dyDescent="0.25">
      <c r="A130" s="1056" t="s">
        <v>288</v>
      </c>
      <c r="B130" s="1057"/>
      <c r="C130" s="1058"/>
      <c r="D130" s="617">
        <v>2</v>
      </c>
      <c r="E130" s="617">
        <v>2</v>
      </c>
      <c r="F130" s="617">
        <v>2</v>
      </c>
      <c r="G130" s="617">
        <v>2</v>
      </c>
      <c r="H130" s="617">
        <v>2</v>
      </c>
      <c r="I130" s="618">
        <v>2</v>
      </c>
    </row>
    <row r="131" spans="1:9" s="591" customFormat="1" x14ac:dyDescent="0.25">
      <c r="A131" s="636" t="s">
        <v>1</v>
      </c>
      <c r="B131" s="611"/>
      <c r="C131" s="611"/>
      <c r="D131" s="611"/>
      <c r="E131" s="611"/>
      <c r="F131" s="611"/>
      <c r="G131" s="611"/>
      <c r="H131" s="611"/>
      <c r="I131" s="614"/>
    </row>
    <row r="132" spans="1:9" s="591" customFormat="1" ht="15" customHeight="1" x14ac:dyDescent="0.25">
      <c r="A132" s="645" t="s">
        <v>214</v>
      </c>
      <c r="B132" s="576"/>
      <c r="C132" s="576"/>
      <c r="D132" s="581"/>
      <c r="E132" s="581"/>
      <c r="F132" s="581"/>
      <c r="G132" s="581"/>
      <c r="H132" s="581"/>
      <c r="I132" s="582"/>
    </row>
    <row r="133" spans="1:9" s="591" customFormat="1" ht="15" customHeight="1" x14ac:dyDescent="0.25">
      <c r="A133" s="645" t="s">
        <v>213</v>
      </c>
      <c r="B133" s="576"/>
      <c r="C133" s="576"/>
      <c r="D133" s="581"/>
      <c r="E133" s="581"/>
      <c r="F133" s="581"/>
      <c r="G133" s="581"/>
      <c r="H133" s="581"/>
      <c r="I133" s="582"/>
    </row>
    <row r="134" spans="1:9" s="591" customFormat="1" x14ac:dyDescent="0.25">
      <c r="A134" s="661" t="s">
        <v>297</v>
      </c>
      <c r="B134" s="576"/>
      <c r="C134" s="576"/>
      <c r="D134" s="648" t="str">
        <f t="shared" ref="D134:I134" si="51">IF(D133="default",VLOOKUP(D128,$AI52:$AK59,2,FALSE),(IF(D133="HCM",VLOOKUP(D128,$AI52:$AK59,3,FALSE)," ")))</f>
        <v xml:space="preserve"> </v>
      </c>
      <c r="E134" s="648" t="str">
        <f t="shared" si="51"/>
        <v xml:space="preserve"> </v>
      </c>
      <c r="F134" s="648" t="str">
        <f t="shared" si="51"/>
        <v xml:space="preserve"> </v>
      </c>
      <c r="G134" s="648" t="str">
        <f t="shared" si="51"/>
        <v xml:space="preserve"> </v>
      </c>
      <c r="H134" s="648" t="str">
        <f t="shared" si="51"/>
        <v xml:space="preserve"> </v>
      </c>
      <c r="I134" s="715" t="str">
        <f t="shared" si="51"/>
        <v xml:space="preserve"> </v>
      </c>
    </row>
    <row r="135" spans="1:9" s="591" customFormat="1" ht="30" customHeight="1" x14ac:dyDescent="0.25">
      <c r="A135" s="981" t="s">
        <v>126</v>
      </c>
      <c r="B135" s="982"/>
      <c r="C135" s="983"/>
      <c r="D135" s="649" t="str">
        <f>IF(D133="manual", 0,"N/A")</f>
        <v>N/A</v>
      </c>
      <c r="E135" s="649" t="str">
        <f t="shared" ref="E135:I135" si="52">IF(E133="manual", 0,"N/A")</f>
        <v>N/A</v>
      </c>
      <c r="F135" s="649" t="str">
        <f t="shared" si="52"/>
        <v>N/A</v>
      </c>
      <c r="G135" s="649" t="str">
        <f t="shared" si="52"/>
        <v>N/A</v>
      </c>
      <c r="H135" s="649" t="str">
        <f t="shared" si="52"/>
        <v>N/A</v>
      </c>
      <c r="I135" s="658" t="str">
        <f t="shared" si="52"/>
        <v>N/A</v>
      </c>
    </row>
    <row r="136" spans="1:9" s="591" customFormat="1" ht="30" customHeight="1" x14ac:dyDescent="0.25">
      <c r="A136" s="917" t="s">
        <v>127</v>
      </c>
      <c r="B136" s="984"/>
      <c r="C136" s="985"/>
      <c r="D136" s="649" t="str">
        <f t="shared" ref="D136:I136" si="53">IF(D133="manual", 0,"N/A")</f>
        <v>N/A</v>
      </c>
      <c r="E136" s="649" t="str">
        <f t="shared" si="53"/>
        <v>N/A</v>
      </c>
      <c r="F136" s="649" t="str">
        <f t="shared" si="53"/>
        <v>N/A</v>
      </c>
      <c r="G136" s="649" t="str">
        <f t="shared" si="53"/>
        <v>N/A</v>
      </c>
      <c r="H136" s="649" t="str">
        <f t="shared" si="53"/>
        <v>N/A</v>
      </c>
      <c r="I136" s="658" t="str">
        <f t="shared" si="53"/>
        <v>N/A</v>
      </c>
    </row>
    <row r="137" spans="1:9" s="591" customFormat="1" x14ac:dyDescent="0.25">
      <c r="A137" s="661" t="s">
        <v>201</v>
      </c>
      <c r="B137" s="576"/>
      <c r="C137" s="576"/>
      <c r="D137" s="586" t="e">
        <f>IF(D135&gt;D136,(D135/(D142*D143)),(D136/(D142*D143)))</f>
        <v>#VALUE!</v>
      </c>
      <c r="E137" s="586" t="e">
        <f t="shared" ref="E137:I137" si="54">IF(E135&gt;E136,(E135/(E142*E143)),(E136/(E142*E143)))</f>
        <v>#VALUE!</v>
      </c>
      <c r="F137" s="586" t="e">
        <f t="shared" si="54"/>
        <v>#VALUE!</v>
      </c>
      <c r="G137" s="586" t="e">
        <f t="shared" si="54"/>
        <v>#VALUE!</v>
      </c>
      <c r="H137" s="586" t="e">
        <f t="shared" si="54"/>
        <v>#VALUE!</v>
      </c>
      <c r="I137" s="587" t="e">
        <f t="shared" si="54"/>
        <v>#VALUE!</v>
      </c>
    </row>
    <row r="138" spans="1:9" s="591" customFormat="1" x14ac:dyDescent="0.25">
      <c r="A138" s="637" t="s">
        <v>197</v>
      </c>
      <c r="I138" s="621"/>
    </row>
    <row r="139" spans="1:9" s="591" customFormat="1" x14ac:dyDescent="0.25">
      <c r="A139" s="737" t="s">
        <v>196</v>
      </c>
      <c r="B139" s="576"/>
      <c r="C139" s="576"/>
      <c r="D139" s="619" t="e">
        <f t="shared" ref="D139:I139" si="55">HLOOKUP(D127,$Y20:$AF30,10,FALSE)</f>
        <v>#N/A</v>
      </c>
      <c r="E139" s="619" t="e">
        <f t="shared" si="55"/>
        <v>#N/A</v>
      </c>
      <c r="F139" s="619" t="e">
        <f t="shared" si="55"/>
        <v>#N/A</v>
      </c>
      <c r="G139" s="619" t="e">
        <f t="shared" si="55"/>
        <v>#N/A</v>
      </c>
      <c r="H139" s="619" t="e">
        <f t="shared" si="55"/>
        <v>#N/A</v>
      </c>
      <c r="I139" s="615" t="e">
        <f t="shared" si="55"/>
        <v>#N/A</v>
      </c>
    </row>
    <row r="140" spans="1:9" s="591" customFormat="1" ht="15.75" x14ac:dyDescent="0.3">
      <c r="A140" s="737" t="s">
        <v>195</v>
      </c>
      <c r="B140" s="576"/>
      <c r="C140" s="576"/>
      <c r="D140" s="671" t="e">
        <f t="shared" ref="D140:I140" si="56">HLOOKUP(D127,$Y20:$AF30,11,FALSE)</f>
        <v>#N/A</v>
      </c>
      <c r="E140" s="671" t="e">
        <f t="shared" si="56"/>
        <v>#N/A</v>
      </c>
      <c r="F140" s="671" t="e">
        <f t="shared" si="56"/>
        <v>#N/A</v>
      </c>
      <c r="G140" s="671" t="e">
        <f t="shared" si="56"/>
        <v>#N/A</v>
      </c>
      <c r="H140" s="671" t="e">
        <f t="shared" si="56"/>
        <v>#N/A</v>
      </c>
      <c r="I140" s="659" t="e">
        <f t="shared" si="56"/>
        <v>#N/A</v>
      </c>
    </row>
    <row r="141" spans="1:9" s="591" customFormat="1" ht="15.75" x14ac:dyDescent="0.3">
      <c r="A141" s="737" t="s">
        <v>269</v>
      </c>
      <c r="B141" s="576"/>
      <c r="C141" s="576"/>
      <c r="D141" s="671" t="e">
        <f t="shared" ref="D141:I141" si="57">HLOOKUP(D127,$Y20:$AF31,12,FALSE)</f>
        <v>#N/A</v>
      </c>
      <c r="E141" s="671" t="e">
        <f t="shared" si="57"/>
        <v>#N/A</v>
      </c>
      <c r="F141" s="671" t="e">
        <f t="shared" si="57"/>
        <v>#N/A</v>
      </c>
      <c r="G141" s="671" t="e">
        <f t="shared" si="57"/>
        <v>#N/A</v>
      </c>
      <c r="H141" s="671" t="e">
        <f t="shared" si="57"/>
        <v>#N/A</v>
      </c>
      <c r="I141" s="659" t="e">
        <f t="shared" si="57"/>
        <v>#N/A</v>
      </c>
    </row>
    <row r="142" spans="1:9" s="591" customFormat="1" x14ac:dyDescent="0.25">
      <c r="A142" s="737" t="s">
        <v>198</v>
      </c>
      <c r="B142" s="576"/>
      <c r="C142" s="576"/>
      <c r="D142" s="649" t="str">
        <f t="shared" ref="D142:I142" si="58">IF(D133="manual", 0,"N/A")</f>
        <v>N/A</v>
      </c>
      <c r="E142" s="649" t="str">
        <f t="shared" si="58"/>
        <v>N/A</v>
      </c>
      <c r="F142" s="649" t="str">
        <f t="shared" si="58"/>
        <v>N/A</v>
      </c>
      <c r="G142" s="649" t="str">
        <f t="shared" si="58"/>
        <v>N/A</v>
      </c>
      <c r="H142" s="649" t="str">
        <f t="shared" si="58"/>
        <v>N/A</v>
      </c>
      <c r="I142" s="658" t="str">
        <f t="shared" si="58"/>
        <v>N/A</v>
      </c>
    </row>
    <row r="143" spans="1:9" s="591" customFormat="1" ht="15.75" x14ac:dyDescent="0.3">
      <c r="A143" s="737" t="s">
        <v>199</v>
      </c>
      <c r="B143" s="576"/>
      <c r="C143" s="576"/>
      <c r="D143" s="649" t="str">
        <f t="shared" ref="D143:I143" si="59">IF(D133="manual", 0,"N/A")</f>
        <v>N/A</v>
      </c>
      <c r="E143" s="649" t="str">
        <f t="shared" si="59"/>
        <v>N/A</v>
      </c>
      <c r="F143" s="649" t="str">
        <f t="shared" si="59"/>
        <v>N/A</v>
      </c>
      <c r="G143" s="649" t="str">
        <f t="shared" si="59"/>
        <v>N/A</v>
      </c>
      <c r="H143" s="649" t="str">
        <f t="shared" si="59"/>
        <v>N/A</v>
      </c>
      <c r="I143" s="658" t="str">
        <f t="shared" si="59"/>
        <v>N/A</v>
      </c>
    </row>
    <row r="144" spans="1:9" s="591" customFormat="1" x14ac:dyDescent="0.25">
      <c r="A144" s="638" t="s">
        <v>200</v>
      </c>
      <c r="B144" s="576"/>
      <c r="C144" s="576"/>
      <c r="D144" s="576"/>
      <c r="E144" s="576"/>
      <c r="F144" s="576"/>
      <c r="G144" s="576"/>
      <c r="H144" s="576"/>
      <c r="I144" s="660"/>
    </row>
    <row r="145" spans="1:10" s="591" customFormat="1" x14ac:dyDescent="0.25">
      <c r="A145" s="637" t="s">
        <v>70</v>
      </c>
      <c r="I145" s="621"/>
    </row>
    <row r="146" spans="1:10" s="591" customFormat="1" x14ac:dyDescent="0.25">
      <c r="A146" s="644" t="s">
        <v>128</v>
      </c>
      <c r="B146" s="576"/>
      <c r="C146" s="576"/>
      <c r="D146" s="586" t="e">
        <f t="shared" ref="D146:I146" si="60">D132/(D139*D140)</f>
        <v>#N/A</v>
      </c>
      <c r="E146" s="586" t="e">
        <f t="shared" si="60"/>
        <v>#N/A</v>
      </c>
      <c r="F146" s="586" t="e">
        <f t="shared" si="60"/>
        <v>#N/A</v>
      </c>
      <c r="G146" s="586" t="e">
        <f t="shared" si="60"/>
        <v>#N/A</v>
      </c>
      <c r="H146" s="586" t="e">
        <f t="shared" si="60"/>
        <v>#N/A</v>
      </c>
      <c r="I146" s="587" t="e">
        <f t="shared" si="60"/>
        <v>#N/A</v>
      </c>
    </row>
    <row r="147" spans="1:10" s="591" customFormat="1" x14ac:dyDescent="0.25">
      <c r="A147" s="580" t="s">
        <v>191</v>
      </c>
      <c r="B147" s="576"/>
      <c r="C147" s="576"/>
      <c r="D147" s="586" t="str">
        <f t="shared" ref="D147:I147" si="61">IF(D133="manual", D137, D134)</f>
        <v xml:space="preserve"> </v>
      </c>
      <c r="E147" s="586" t="str">
        <f t="shared" si="61"/>
        <v xml:space="preserve"> </v>
      </c>
      <c r="F147" s="586" t="str">
        <f t="shared" si="61"/>
        <v xml:space="preserve"> </v>
      </c>
      <c r="G147" s="586" t="str">
        <f t="shared" si="61"/>
        <v xml:space="preserve"> </v>
      </c>
      <c r="H147" s="586" t="str">
        <f t="shared" si="61"/>
        <v xml:space="preserve"> </v>
      </c>
      <c r="I147" s="587" t="str">
        <f t="shared" si="61"/>
        <v xml:space="preserve"> </v>
      </c>
    </row>
    <row r="148" spans="1:10" s="591" customFormat="1" ht="18.75" customHeight="1" x14ac:dyDescent="0.25">
      <c r="A148" s="642" t="s">
        <v>291</v>
      </c>
      <c r="B148" s="404"/>
      <c r="C148" s="404"/>
      <c r="D148" s="404"/>
      <c r="E148" s="404"/>
      <c r="F148" s="404"/>
      <c r="G148" s="404"/>
      <c r="H148" s="404"/>
      <c r="I148" s="622"/>
    </row>
    <row r="149" spans="1:10" s="591" customFormat="1" ht="15.75" thickBot="1" x14ac:dyDescent="0.3">
      <c r="A149" s="737" t="s">
        <v>292</v>
      </c>
      <c r="B149" s="576"/>
      <c r="C149" s="576"/>
      <c r="D149" s="613" t="e">
        <f>IF(D129="yes",1200,IF(D130=1,((1130*EXP(-0.001*D147))*D140*D141),((1130*EXP(-0.0007*D147))*D140*D141)))</f>
        <v>#VALUE!</v>
      </c>
      <c r="E149" s="613" t="e">
        <f t="shared" ref="E149:I149" si="62">IF(E129="yes",1200,IF(E130=1,((1130*EXP(-0.001*E147))*E140*E141),((1130*EXP(-0.0007*E147))*E140*E141)))</f>
        <v>#VALUE!</v>
      </c>
      <c r="F149" s="613" t="e">
        <f t="shared" si="62"/>
        <v>#VALUE!</v>
      </c>
      <c r="G149" s="613" t="e">
        <f t="shared" si="62"/>
        <v>#VALUE!</v>
      </c>
      <c r="H149" s="613" t="e">
        <f t="shared" si="62"/>
        <v>#VALUE!</v>
      </c>
      <c r="I149" s="613" t="e">
        <f t="shared" si="62"/>
        <v>#VALUE!</v>
      </c>
    </row>
    <row r="150" spans="1:10" s="591" customFormat="1" ht="15.75" thickTop="1" x14ac:dyDescent="0.25">
      <c r="A150" s="737" t="s">
        <v>293</v>
      </c>
      <c r="B150" s="576"/>
      <c r="C150" s="576"/>
      <c r="D150" s="623" t="e">
        <f>IF(D149="NA","NA",D146*D140)</f>
        <v>#VALUE!</v>
      </c>
      <c r="E150" s="623" t="e">
        <f t="shared" ref="E150:I150" si="63">IF(E149="NA","NA",E146*E140)</f>
        <v>#VALUE!</v>
      </c>
      <c r="F150" s="623" t="e">
        <f t="shared" si="63"/>
        <v>#VALUE!</v>
      </c>
      <c r="G150" s="623" t="e">
        <f t="shared" si="63"/>
        <v>#VALUE!</v>
      </c>
      <c r="H150" s="623" t="e">
        <f t="shared" si="63"/>
        <v>#VALUE!</v>
      </c>
      <c r="I150" s="623" t="e">
        <f t="shared" si="63"/>
        <v>#VALUE!</v>
      </c>
    </row>
    <row r="151" spans="1:10" s="591" customFormat="1" x14ac:dyDescent="0.25">
      <c r="A151" s="738" t="s">
        <v>203</v>
      </c>
      <c r="B151" s="576"/>
      <c r="C151" s="576"/>
      <c r="D151" s="671" t="e">
        <f>D150/D149</f>
        <v>#VALUE!</v>
      </c>
      <c r="E151" s="671" t="e">
        <f t="shared" ref="E151:I151" si="64">E146/E149</f>
        <v>#N/A</v>
      </c>
      <c r="F151" s="671" t="e">
        <f t="shared" si="64"/>
        <v>#N/A</v>
      </c>
      <c r="G151" s="671" t="e">
        <f t="shared" si="64"/>
        <v>#N/A</v>
      </c>
      <c r="H151" s="671" t="e">
        <f t="shared" si="64"/>
        <v>#N/A</v>
      </c>
      <c r="I151" s="659" t="e">
        <f t="shared" si="64"/>
        <v>#N/A</v>
      </c>
      <c r="J151" s="388"/>
    </row>
    <row r="152" spans="1:10" s="591" customFormat="1" ht="15" customHeight="1" x14ac:dyDescent="0.25">
      <c r="A152" s="738" t="s">
        <v>204</v>
      </c>
      <c r="B152" s="576"/>
      <c r="C152" s="576"/>
      <c r="D152" s="640" t="e">
        <f>IF(D129="yes",0,3600/D149+900*0.25*(D151-1+SQRT((D151-1)^2+((3600/D149)*D151)/(450*0.25)))+(5*(MIN(D151,1))))</f>
        <v>#VALUE!</v>
      </c>
      <c r="E152" s="640" t="e">
        <f t="shared" ref="E152:I152" si="65">IF(E129="yes",0,3600/E149+900*0.25*(E151-1+SQRT((E151-1)^2+((3600/E149)*E151)/(450*0.25)))+(5*(MIN(E151,1))))</f>
        <v>#VALUE!</v>
      </c>
      <c r="F152" s="640" t="e">
        <f t="shared" si="65"/>
        <v>#VALUE!</v>
      </c>
      <c r="G152" s="640" t="e">
        <f t="shared" si="65"/>
        <v>#VALUE!</v>
      </c>
      <c r="H152" s="640" t="e">
        <f t="shared" si="65"/>
        <v>#VALUE!</v>
      </c>
      <c r="I152" s="640" t="e">
        <f t="shared" si="65"/>
        <v>#VALUE!</v>
      </c>
    </row>
    <row r="153" spans="1:10" s="591" customFormat="1" x14ac:dyDescent="0.25">
      <c r="A153" s="737" t="s">
        <v>85</v>
      </c>
      <c r="B153" s="576"/>
      <c r="C153" s="576"/>
      <c r="D153" s="588" t="e">
        <f t="shared" ref="D153:I153" si="66">VLOOKUP(D152,$W59:$X64,2,TRUE)</f>
        <v>#VALUE!</v>
      </c>
      <c r="E153" s="588" t="e">
        <f t="shared" si="66"/>
        <v>#VALUE!</v>
      </c>
      <c r="F153" s="588" t="e">
        <f t="shared" si="66"/>
        <v>#VALUE!</v>
      </c>
      <c r="G153" s="588" t="e">
        <f t="shared" si="66"/>
        <v>#VALUE!</v>
      </c>
      <c r="H153" s="588" t="e">
        <f t="shared" si="66"/>
        <v>#VALUE!</v>
      </c>
      <c r="I153" s="588" t="e">
        <f t="shared" si="66"/>
        <v>#VALUE!</v>
      </c>
    </row>
    <row r="154" spans="1:10" s="591" customFormat="1" hidden="1" x14ac:dyDescent="0.25">
      <c r="A154" s="737" t="s">
        <v>180</v>
      </c>
      <c r="B154" s="576"/>
      <c r="C154" s="576"/>
      <c r="D154" s="588" t="e">
        <f>VLOOKUP(D152,$W66:$X74,2,TRUE)</f>
        <v>#VALUE!</v>
      </c>
      <c r="E154" s="588" t="e">
        <f>VLOOKUP(E152,$T158:$U163,2,TRUE)</f>
        <v>#VALUE!</v>
      </c>
      <c r="F154" s="588" t="e">
        <f>VLOOKUP(F152,$T158:$U163,2,TRUE)</f>
        <v>#VALUE!</v>
      </c>
      <c r="G154" s="588" t="e">
        <f>VLOOKUP(G152,$T158:$U163,2,TRUE)</f>
        <v>#VALUE!</v>
      </c>
      <c r="H154" s="588" t="e">
        <f>VLOOKUP(H152,$T158:$U163,2,TRUE)</f>
        <v>#VALUE!</v>
      </c>
      <c r="I154" s="589" t="e">
        <f>VLOOKUP(I152,$T158:$U163,2,TRUE)</f>
        <v>#VALUE!</v>
      </c>
    </row>
    <row r="155" spans="1:10" s="591" customFormat="1" hidden="1" x14ac:dyDescent="0.25">
      <c r="A155" s="737" t="s">
        <v>150</v>
      </c>
      <c r="B155" s="576"/>
      <c r="C155" s="576"/>
      <c r="D155" s="597" t="e">
        <f>225*(D151-1+SQRT((1-D151)^2+((3600/D149)*D151/37.5)))*(D149/3600)</f>
        <v>#VALUE!</v>
      </c>
      <c r="E155" s="597" t="e">
        <f t="shared" ref="E155:I155" si="67">225*(E151-1+SQRT((1-E151)^2+((3600/E149)*E151/37.5)))*(E149/3600)</f>
        <v>#N/A</v>
      </c>
      <c r="F155" s="597" t="e">
        <f t="shared" si="67"/>
        <v>#N/A</v>
      </c>
      <c r="G155" s="597" t="e">
        <f t="shared" si="67"/>
        <v>#N/A</v>
      </c>
      <c r="H155" s="597" t="e">
        <f t="shared" si="67"/>
        <v>#N/A</v>
      </c>
      <c r="I155" s="607" t="e">
        <f t="shared" si="67"/>
        <v>#N/A</v>
      </c>
    </row>
    <row r="156" spans="1:10" s="591" customFormat="1" ht="15.75" thickBot="1" x14ac:dyDescent="0.3">
      <c r="A156" s="663" t="s">
        <v>138</v>
      </c>
      <c r="B156" s="654"/>
      <c r="C156" s="655"/>
      <c r="D156" s="647" t="e">
        <f t="shared" ref="D156:I156" si="68">D155*($P$66/D140)</f>
        <v>#VALUE!</v>
      </c>
      <c r="E156" s="647" t="e">
        <f t="shared" si="68"/>
        <v>#N/A</v>
      </c>
      <c r="F156" s="647" t="e">
        <f t="shared" si="68"/>
        <v>#N/A</v>
      </c>
      <c r="G156" s="647" t="e">
        <f t="shared" si="68"/>
        <v>#N/A</v>
      </c>
      <c r="H156" s="647" t="e">
        <f t="shared" si="68"/>
        <v>#N/A</v>
      </c>
      <c r="I156" s="646" t="e">
        <f t="shared" si="68"/>
        <v>#N/A</v>
      </c>
    </row>
    <row r="157" spans="1:10" s="591" customFormat="1" x14ac:dyDescent="0.25">
      <c r="A157" s="410"/>
      <c r="B157" s="576"/>
      <c r="C157" s="576"/>
      <c r="D157" s="576"/>
      <c r="E157" s="576"/>
      <c r="F157" s="576"/>
      <c r="G157" s="576"/>
      <c r="H157" s="576"/>
      <c r="I157" s="576"/>
    </row>
    <row r="158" spans="1:10" s="591" customFormat="1" x14ac:dyDescent="0.25">
      <c r="A158" s="576" t="s">
        <v>244</v>
      </c>
      <c r="B158" s="727"/>
      <c r="C158" s="576"/>
      <c r="D158" s="576"/>
      <c r="E158" s="576"/>
      <c r="F158" s="576"/>
      <c r="G158" s="576"/>
      <c r="H158" s="576"/>
      <c r="I158" s="576"/>
    </row>
    <row r="159" spans="1:10" s="591" customFormat="1" x14ac:dyDescent="0.25">
      <c r="A159" s="576"/>
      <c r="B159" s="576"/>
      <c r="C159" s="576"/>
      <c r="D159" s="576"/>
      <c r="E159" s="576"/>
      <c r="F159" s="576"/>
      <c r="G159" s="576"/>
      <c r="H159" s="576"/>
      <c r="I159" s="576"/>
    </row>
    <row r="160" spans="1:10" s="591" customFormat="1" x14ac:dyDescent="0.25">
      <c r="A160" s="576"/>
      <c r="B160" s="576"/>
      <c r="C160" s="576"/>
      <c r="D160" s="576"/>
      <c r="E160" s="576"/>
      <c r="F160" s="576"/>
      <c r="G160" s="576"/>
      <c r="H160" s="576"/>
      <c r="I160" s="576"/>
    </row>
    <row r="161" spans="1:9" s="591" customFormat="1" x14ac:dyDescent="0.25">
      <c r="A161" s="576"/>
      <c r="B161" s="576"/>
      <c r="C161" s="576"/>
      <c r="D161" s="576"/>
      <c r="E161" s="576"/>
      <c r="F161" s="576"/>
      <c r="G161" s="576"/>
      <c r="H161" s="576"/>
      <c r="I161" s="576"/>
    </row>
    <row r="162" spans="1:9" s="591" customFormat="1" x14ac:dyDescent="0.25">
      <c r="A162" s="576"/>
      <c r="B162" s="576"/>
      <c r="C162" s="576"/>
      <c r="D162" s="576"/>
      <c r="E162" s="576"/>
      <c r="F162" s="576"/>
      <c r="G162" s="576"/>
      <c r="H162" s="576"/>
      <c r="I162" s="576"/>
    </row>
    <row r="163" spans="1:9" s="591" customFormat="1" x14ac:dyDescent="0.25">
      <c r="A163" s="576"/>
      <c r="B163" s="576"/>
      <c r="C163" s="576"/>
      <c r="D163" s="576"/>
      <c r="E163" s="576"/>
      <c r="F163" s="576"/>
      <c r="G163" s="576"/>
      <c r="H163" s="576"/>
      <c r="I163" s="576"/>
    </row>
    <row r="164" spans="1:9" s="591" customFormat="1" x14ac:dyDescent="0.25">
      <c r="A164" s="576"/>
      <c r="B164" s="576"/>
      <c r="C164" s="576"/>
      <c r="D164" s="576"/>
      <c r="E164" s="576"/>
      <c r="F164" s="576"/>
      <c r="G164" s="576"/>
      <c r="H164" s="576"/>
      <c r="I164" s="576"/>
    </row>
    <row r="165" spans="1:9" s="591" customFormat="1" x14ac:dyDescent="0.25">
      <c r="A165" s="576"/>
      <c r="B165" s="576"/>
      <c r="C165" s="576"/>
      <c r="D165" s="576"/>
      <c r="E165" s="576"/>
      <c r="F165" s="576"/>
      <c r="G165" s="576"/>
      <c r="H165" s="576"/>
      <c r="I165" s="576"/>
    </row>
    <row r="166" spans="1:9" s="591" customFormat="1" x14ac:dyDescent="0.25">
      <c r="A166" s="576"/>
      <c r="B166" s="576"/>
      <c r="C166" s="576"/>
      <c r="D166" s="576"/>
      <c r="E166" s="576"/>
      <c r="F166" s="576"/>
      <c r="G166" s="576"/>
      <c r="H166" s="576"/>
      <c r="I166" s="576"/>
    </row>
    <row r="167" spans="1:9" s="591" customFormat="1" x14ac:dyDescent="0.25">
      <c r="A167" s="576"/>
      <c r="B167" s="576"/>
      <c r="C167" s="576"/>
      <c r="D167" s="576"/>
      <c r="E167" s="576"/>
      <c r="F167" s="576"/>
      <c r="G167" s="576"/>
      <c r="H167" s="576"/>
      <c r="I167" s="576"/>
    </row>
    <row r="168" spans="1:9" s="591" customFormat="1" x14ac:dyDescent="0.25">
      <c r="A168" s="576"/>
      <c r="B168" s="576"/>
      <c r="C168" s="576"/>
      <c r="D168" s="576"/>
      <c r="E168" s="576"/>
      <c r="F168" s="576"/>
      <c r="G168" s="576"/>
      <c r="H168" s="576"/>
      <c r="I168" s="576"/>
    </row>
    <row r="169" spans="1:9" s="591" customFormat="1" x14ac:dyDescent="0.25">
      <c r="A169" s="576"/>
      <c r="B169" s="576"/>
      <c r="C169" s="576"/>
      <c r="D169" s="576"/>
      <c r="E169" s="576"/>
      <c r="F169" s="576"/>
      <c r="G169" s="576"/>
      <c r="H169" s="576"/>
      <c r="I169" s="576"/>
    </row>
    <row r="170" spans="1:9" s="591" customFormat="1" x14ac:dyDescent="0.25">
      <c r="A170" s="576"/>
      <c r="B170" s="576"/>
      <c r="C170" s="576"/>
      <c r="D170" s="576"/>
      <c r="E170" s="576"/>
      <c r="F170" s="576"/>
      <c r="G170" s="576"/>
      <c r="H170" s="576"/>
      <c r="I170" s="576"/>
    </row>
    <row r="171" spans="1:9" s="591" customFormat="1" x14ac:dyDescent="0.25"/>
    <row r="172" spans="1:9" s="591" customFormat="1" x14ac:dyDescent="0.25"/>
    <row r="173" spans="1:9" s="591" customFormat="1" x14ac:dyDescent="0.25"/>
    <row r="174" spans="1:9" s="591" customFormat="1" x14ac:dyDescent="0.25"/>
    <row r="175" spans="1:9" s="591" customFormat="1" x14ac:dyDescent="0.25"/>
    <row r="176" spans="1:9" s="591" customFormat="1" x14ac:dyDescent="0.25"/>
    <row r="177" s="591" customFormat="1" x14ac:dyDescent="0.25"/>
    <row r="178" s="591" customFormat="1" x14ac:dyDescent="0.25"/>
    <row r="179" s="591" customFormat="1" x14ac:dyDescent="0.25"/>
    <row r="180" s="591" customFormat="1" x14ac:dyDescent="0.25"/>
    <row r="181" s="591" customFormat="1" x14ac:dyDescent="0.25"/>
    <row r="182" s="591" customFormat="1" x14ac:dyDescent="0.25"/>
    <row r="183" s="591" customFormat="1" x14ac:dyDescent="0.25"/>
    <row r="184" s="591" customFormat="1" x14ac:dyDescent="0.25"/>
    <row r="185" s="591" customFormat="1" x14ac:dyDescent="0.25"/>
    <row r="186" s="591" customFormat="1" x14ac:dyDescent="0.25"/>
    <row r="187" s="591" customFormat="1" x14ac:dyDescent="0.25"/>
    <row r="188" s="591" customFormat="1" x14ac:dyDescent="0.25"/>
    <row r="189" s="591" customFormat="1" x14ac:dyDescent="0.25"/>
    <row r="190" s="591" customFormat="1" x14ac:dyDescent="0.25"/>
    <row r="191" s="591" customFormat="1" x14ac:dyDescent="0.25"/>
    <row r="192" s="591" customFormat="1" x14ac:dyDescent="0.25"/>
    <row r="193" s="591" customFormat="1" x14ac:dyDescent="0.25"/>
    <row r="194" s="591" customFormat="1" x14ac:dyDescent="0.25"/>
    <row r="195" s="591" customFormat="1" x14ac:dyDescent="0.25"/>
    <row r="196" s="591" customFormat="1" x14ac:dyDescent="0.25"/>
    <row r="197" s="591" customFormat="1" x14ac:dyDescent="0.25"/>
    <row r="198" s="591" customFormat="1" x14ac:dyDescent="0.25"/>
    <row r="199" s="591" customFormat="1" x14ac:dyDescent="0.25"/>
    <row r="200" s="591" customFormat="1" x14ac:dyDescent="0.25"/>
    <row r="201" s="591" customFormat="1" x14ac:dyDescent="0.25"/>
    <row r="202" s="591" customFormat="1" x14ac:dyDescent="0.25"/>
    <row r="203" s="591" customFormat="1" x14ac:dyDescent="0.25"/>
    <row r="204" s="591" customFormat="1" x14ac:dyDescent="0.25"/>
    <row r="205" s="591" customFormat="1" x14ac:dyDescent="0.25"/>
    <row r="206" s="591" customFormat="1" x14ac:dyDescent="0.25"/>
    <row r="207" s="591" customFormat="1" x14ac:dyDescent="0.25"/>
    <row r="208" s="591" customFormat="1" x14ac:dyDescent="0.25"/>
    <row r="209" s="591" customFormat="1" x14ac:dyDescent="0.25"/>
    <row r="210" s="591" customFormat="1" x14ac:dyDescent="0.25"/>
    <row r="211" s="591" customFormat="1" x14ac:dyDescent="0.25"/>
    <row r="212" s="591" customFormat="1" x14ac:dyDescent="0.25"/>
    <row r="213" s="591" customFormat="1" x14ac:dyDescent="0.25"/>
    <row r="214" s="591" customFormat="1" x14ac:dyDescent="0.25"/>
    <row r="215" s="591" customFormat="1" x14ac:dyDescent="0.25"/>
    <row r="216" s="591" customFormat="1" x14ac:dyDescent="0.25"/>
    <row r="217" s="591" customFormat="1" x14ac:dyDescent="0.25"/>
    <row r="218" s="591" customFormat="1" x14ac:dyDescent="0.25"/>
    <row r="219" s="591" customFormat="1" x14ac:dyDescent="0.25"/>
    <row r="220" s="591" customFormat="1" x14ac:dyDescent="0.25"/>
    <row r="221" s="591" customFormat="1" x14ac:dyDescent="0.25"/>
    <row r="222" s="591" customFormat="1" x14ac:dyDescent="0.25"/>
    <row r="223" s="591" customFormat="1" x14ac:dyDescent="0.25"/>
    <row r="224" s="591" customFormat="1" x14ac:dyDescent="0.25"/>
    <row r="225" s="591" customFormat="1" x14ac:dyDescent="0.25"/>
    <row r="226" s="591" customFormat="1" x14ac:dyDescent="0.25"/>
    <row r="227" s="591" customFormat="1" x14ac:dyDescent="0.25"/>
    <row r="228" s="591" customFormat="1" x14ac:dyDescent="0.25"/>
    <row r="229" s="591" customFormat="1" x14ac:dyDescent="0.25"/>
    <row r="230" s="591" customFormat="1" x14ac:dyDescent="0.25"/>
    <row r="231" s="591" customFormat="1" x14ac:dyDescent="0.25"/>
    <row r="232" s="591" customFormat="1" x14ac:dyDescent="0.25"/>
    <row r="233" s="591" customFormat="1" x14ac:dyDescent="0.25"/>
    <row r="234" s="591" customFormat="1" x14ac:dyDescent="0.25"/>
    <row r="235" s="591" customFormat="1" x14ac:dyDescent="0.25"/>
    <row r="236" s="591" customFormat="1" x14ac:dyDescent="0.25"/>
    <row r="237" s="591" customFormat="1" x14ac:dyDescent="0.25"/>
    <row r="238" s="591" customFormat="1" x14ac:dyDescent="0.25"/>
    <row r="239" s="591" customFormat="1" x14ac:dyDescent="0.25"/>
  </sheetData>
  <mergeCells count="57">
    <mergeCell ref="B7:D7"/>
    <mergeCell ref="B2:D2"/>
    <mergeCell ref="B3:D3"/>
    <mergeCell ref="B4:D4"/>
    <mergeCell ref="B5:D5"/>
    <mergeCell ref="B6:D6"/>
    <mergeCell ref="M25:N25"/>
    <mergeCell ref="B8:D9"/>
    <mergeCell ref="B11:H11"/>
    <mergeCell ref="M18:R18"/>
    <mergeCell ref="M19:N19"/>
    <mergeCell ref="O19:P19"/>
    <mergeCell ref="Q19:R19"/>
    <mergeCell ref="M20:N20"/>
    <mergeCell ref="O20:P20"/>
    <mergeCell ref="Q20:R20"/>
    <mergeCell ref="M23:O23"/>
    <mergeCell ref="P23:R23"/>
    <mergeCell ref="M26:N26"/>
    <mergeCell ref="A74:I74"/>
    <mergeCell ref="B75:C75"/>
    <mergeCell ref="D75:E75"/>
    <mergeCell ref="F75:G75"/>
    <mergeCell ref="H75:I75"/>
    <mergeCell ref="B87:C87"/>
    <mergeCell ref="D87:E87"/>
    <mergeCell ref="F87:G87"/>
    <mergeCell ref="H87:I87"/>
    <mergeCell ref="B88:C88"/>
    <mergeCell ref="D88:E88"/>
    <mergeCell ref="F88:G88"/>
    <mergeCell ref="H88:I88"/>
    <mergeCell ref="B89:C89"/>
    <mergeCell ref="D89:E89"/>
    <mergeCell ref="F89:G89"/>
    <mergeCell ref="H89:I89"/>
    <mergeCell ref="B101:C101"/>
    <mergeCell ref="D101:E101"/>
    <mergeCell ref="F101:G101"/>
    <mergeCell ref="H101:I101"/>
    <mergeCell ref="B102:C102"/>
    <mergeCell ref="D102:E102"/>
    <mergeCell ref="F102:G102"/>
    <mergeCell ref="H102:I102"/>
    <mergeCell ref="A124:I124"/>
    <mergeCell ref="A136:C136"/>
    <mergeCell ref="I125:I126"/>
    <mergeCell ref="A126:C126"/>
    <mergeCell ref="A127:C127"/>
    <mergeCell ref="A128:C128"/>
    <mergeCell ref="A130:C130"/>
    <mergeCell ref="A135:C135"/>
    <mergeCell ref="D125:D126"/>
    <mergeCell ref="E125:E126"/>
    <mergeCell ref="F125:F126"/>
    <mergeCell ref="G125:G126"/>
    <mergeCell ref="H125:H126"/>
  </mergeCells>
  <conditionalFormatting sqref="D137:I137 D146:I147 D139:I141 B91:I91 C79:C87 B79:B88 D79:I88 B93:I102 B107:I111 D149:I156">
    <cfRule type="expression" dxfId="23" priority="16" stopIfTrue="1">
      <formula>ISERROR(B79)</formula>
    </cfRule>
  </conditionalFormatting>
  <conditionalFormatting sqref="B91:I91 K59 B77:I77">
    <cfRule type="cellIs" dxfId="22" priority="15" stopIfTrue="1" operator="equal">
      <formula>FALSE</formula>
    </cfRule>
  </conditionalFormatting>
  <conditionalFormatting sqref="B56:I56">
    <cfRule type="cellIs" dxfId="21" priority="14" stopIfTrue="1" operator="notEqual">
      <formula>0.92</formula>
    </cfRule>
  </conditionalFormatting>
  <conditionalFormatting sqref="B53:I55 K43:P43">
    <cfRule type="cellIs" dxfId="20" priority="13" stopIfTrue="1" operator="notEqual">
      <formula>0</formula>
    </cfRule>
  </conditionalFormatting>
  <conditionalFormatting sqref="B2:B9">
    <cfRule type="cellIs" dxfId="19" priority="12" stopIfTrue="1" operator="equal">
      <formula>0</formula>
    </cfRule>
  </conditionalFormatting>
  <conditionalFormatting sqref="B25:I32 B14:I21">
    <cfRule type="cellIs" dxfId="18" priority="11" operator="greaterThan">
      <formula>0</formula>
    </cfRule>
  </conditionalFormatting>
  <conditionalFormatting sqref="E135:E136 E142:E143">
    <cfRule type="expression" dxfId="17" priority="10">
      <formula>$E$133="Manual"</formula>
    </cfRule>
  </conditionalFormatting>
  <conditionalFormatting sqref="D135:D136 D142:D143">
    <cfRule type="expression" dxfId="16" priority="9">
      <formula>$D$133="manual"</formula>
    </cfRule>
  </conditionalFormatting>
  <conditionalFormatting sqref="G135:G136 G142:G143">
    <cfRule type="expression" dxfId="15" priority="8">
      <formula>$G$133="manual"</formula>
    </cfRule>
  </conditionalFormatting>
  <conditionalFormatting sqref="F135:F136 F142:F143">
    <cfRule type="expression" dxfId="14" priority="7">
      <formula>$F$133="manual"</formula>
    </cfRule>
  </conditionalFormatting>
  <conditionalFormatting sqref="H135:H136 H142:H143">
    <cfRule type="expression" dxfId="13" priority="6">
      <formula>$H$133="manual"</formula>
    </cfRule>
  </conditionalFormatting>
  <conditionalFormatting sqref="I135:I136 I142:I143">
    <cfRule type="expression" dxfId="12" priority="5">
      <formula>$I$133="manual"</formula>
    </cfRule>
  </conditionalFormatting>
  <conditionalFormatting sqref="G135:G136">
    <cfRule type="expression" dxfId="11" priority="4">
      <formula>$E$19="manual"</formula>
    </cfRule>
  </conditionalFormatting>
  <conditionalFormatting sqref="H135:H136">
    <cfRule type="expression" dxfId="10" priority="3">
      <formula>$F$19="manual"</formula>
    </cfRule>
  </conditionalFormatting>
  <conditionalFormatting sqref="I135:I136">
    <cfRule type="expression" dxfId="9" priority="2">
      <formula>$G$19="manual"</formula>
    </cfRule>
  </conditionalFormatting>
  <conditionalFormatting sqref="L4:O11">
    <cfRule type="cellIs" dxfId="8" priority="1" operator="equal">
      <formula>0</formula>
    </cfRule>
  </conditionalFormatting>
  <dataValidations count="7">
    <dataValidation type="list" allowBlank="1" showInputMessage="1" showErrorMessage="1" sqref="P27">
      <formula1>$X$6:$X$16</formula1>
    </dataValidation>
    <dataValidation type="list" allowBlank="1" showInputMessage="1" showErrorMessage="1" sqref="P23:R23">
      <formula1>$S$17:$S$20</formula1>
    </dataValidation>
    <dataValidation type="list" allowBlank="1" showInputMessage="1" showErrorMessage="1" sqref="D129:I129">
      <formula1>$AM$57:$AM$58</formula1>
    </dataValidation>
    <dataValidation type="list" allowBlank="1" showInputMessage="1" showErrorMessage="1" sqref="B49:I49 D130:I130">
      <formula1>"1,2"</formula1>
    </dataValidation>
    <dataValidation type="list" allowBlank="1" showInputMessage="1" showErrorMessage="1" sqref="B13:I13 B24:I24">
      <formula1>$AA$6:$AA$13</formula1>
    </dataValidation>
    <dataValidation type="list" allowBlank="1" showInputMessage="1" showErrorMessage="1" sqref="D127:I128">
      <formula1>$Y$20:$AF$20</formula1>
    </dataValidation>
    <dataValidation type="list" allowBlank="1" showInputMessage="1" showErrorMessage="1" sqref="D133:I133">
      <formula1>$AM$52:$AM$55</formula1>
    </dataValidation>
  </dataValidations>
  <pageMargins left="0.7" right="0.7" top="0.75" bottom="0.75" header="0.3" footer="0.3"/>
  <pageSetup scale="95" orientation="portrait" r:id="rId1"/>
  <headerFooter>
    <oddHeader>&amp;CRoundabout Analysis Tool
Multi-Lane&amp;R&amp;10&amp;D
Version 2.0</oddHeader>
    <oddFooter>&amp;R&amp;10Georgia Department of Transportation
Office of Traffic Operations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39997558519241921"/>
  </sheetPr>
  <dimension ref="A1:Z227"/>
  <sheetViews>
    <sheetView topLeftCell="A76" zoomScaleNormal="100" workbookViewId="0">
      <selection activeCell="B13" sqref="B13"/>
    </sheetView>
  </sheetViews>
  <sheetFormatPr defaultColWidth="9.140625" defaultRowHeight="15" x14ac:dyDescent="0.25"/>
  <cols>
    <col min="1" max="1" width="22.7109375" style="363" customWidth="1"/>
    <col min="2" max="9" width="8.42578125" style="363" customWidth="1"/>
    <col min="10" max="10" width="9.140625" style="382"/>
    <col min="11" max="11" width="16.5703125" style="382" customWidth="1"/>
    <col min="12" max="12" width="9.140625" style="382"/>
    <col min="13" max="13" width="22" style="382" customWidth="1"/>
    <col min="14" max="14" width="2.7109375" style="382" customWidth="1"/>
    <col min="15" max="15" width="13" style="382" customWidth="1"/>
    <col min="16" max="16" width="13.42578125" style="382" customWidth="1"/>
    <col min="17" max="17" width="9.140625" style="382"/>
    <col min="18" max="18" width="9.5703125" style="382" bestFit="1" customWidth="1"/>
    <col min="19" max="26" width="9.140625" style="382"/>
    <col min="27" max="16384" width="9.140625" style="363"/>
  </cols>
  <sheetData>
    <row r="1" spans="1:26" ht="15.75" thickBot="1" x14ac:dyDescent="0.3">
      <c r="A1" s="164" t="s">
        <v>12</v>
      </c>
      <c r="B1" s="412"/>
      <c r="C1" s="412"/>
      <c r="D1" s="413"/>
      <c r="E1" s="367"/>
      <c r="F1" s="367"/>
      <c r="G1" s="367"/>
      <c r="H1" s="367"/>
      <c r="I1" s="368"/>
      <c r="V1" s="447"/>
      <c r="W1" s="327" t="s">
        <v>170</v>
      </c>
      <c r="X1" s="447"/>
      <c r="Y1" s="447"/>
      <c r="Z1" s="447"/>
    </row>
    <row r="2" spans="1:26" ht="15.75" thickTop="1" x14ac:dyDescent="0.25">
      <c r="A2" s="501" t="s">
        <v>13</v>
      </c>
      <c r="B2" s="912">
        <f>'START HERE'!C9</f>
        <v>0</v>
      </c>
      <c r="C2" s="912"/>
      <c r="D2" s="912"/>
      <c r="E2" s="364"/>
      <c r="F2" s="364"/>
      <c r="G2" s="364"/>
      <c r="H2" s="364"/>
      <c r="I2" s="369"/>
      <c r="L2" s="386"/>
      <c r="M2" s="401"/>
      <c r="N2" s="386"/>
      <c r="O2" s="386"/>
      <c r="P2" s="386"/>
      <c r="V2" s="447"/>
      <c r="W2" s="328" t="s">
        <v>91</v>
      </c>
      <c r="X2" s="447"/>
      <c r="Y2" s="447"/>
      <c r="Z2" s="447"/>
    </row>
    <row r="3" spans="1:26" x14ac:dyDescent="0.25">
      <c r="A3" s="161" t="s">
        <v>14</v>
      </c>
      <c r="B3" s="916">
        <f>'START HERE'!C10</f>
        <v>0</v>
      </c>
      <c r="C3" s="916"/>
      <c r="D3" s="916"/>
      <c r="E3" s="364"/>
      <c r="F3" s="364"/>
      <c r="G3" s="364"/>
      <c r="H3" s="364"/>
      <c r="I3" s="369"/>
      <c r="K3" s="464" t="s">
        <v>253</v>
      </c>
      <c r="L3" s="464"/>
      <c r="N3" s="386"/>
      <c r="O3" s="386"/>
      <c r="P3" s="386"/>
      <c r="V3" s="447"/>
      <c r="W3" s="447"/>
      <c r="X3" s="447"/>
      <c r="Y3" s="447" t="s">
        <v>93</v>
      </c>
      <c r="Z3" s="447" t="s">
        <v>9</v>
      </c>
    </row>
    <row r="4" spans="1:26" x14ac:dyDescent="0.25">
      <c r="A4" s="457" t="s">
        <v>15</v>
      </c>
      <c r="B4" s="914">
        <f>'START HERE'!C11</f>
        <v>0</v>
      </c>
      <c r="C4" s="914"/>
      <c r="D4" s="914"/>
      <c r="E4" s="364"/>
      <c r="F4" s="364"/>
      <c r="G4" s="364"/>
      <c r="H4" s="364"/>
      <c r="I4" s="369"/>
      <c r="K4" s="461" t="s">
        <v>246</v>
      </c>
      <c r="L4" s="292" t="s">
        <v>245</v>
      </c>
      <c r="N4" s="386"/>
      <c r="O4" s="401"/>
      <c r="P4" s="401"/>
      <c r="V4" s="447"/>
      <c r="W4" s="447" t="s">
        <v>90</v>
      </c>
      <c r="X4" s="447"/>
      <c r="Y4" s="328" t="s">
        <v>46</v>
      </c>
      <c r="Z4" s="328" t="s">
        <v>46</v>
      </c>
    </row>
    <row r="5" spans="1:26" x14ac:dyDescent="0.25">
      <c r="A5" s="457" t="s">
        <v>140</v>
      </c>
      <c r="B5" s="916">
        <f>'START HERE'!C12</f>
        <v>0</v>
      </c>
      <c r="C5" s="916"/>
      <c r="D5" s="916"/>
      <c r="E5" s="364"/>
      <c r="F5" s="364"/>
      <c r="G5" s="364"/>
      <c r="H5" s="364"/>
      <c r="I5" s="369"/>
      <c r="K5" s="460" t="s">
        <v>48</v>
      </c>
      <c r="L5" s="459">
        <f>'START HERE'!$AC$22</f>
        <v>0</v>
      </c>
      <c r="N5" s="385"/>
      <c r="O5" s="385"/>
      <c r="P5" s="385"/>
      <c r="Q5" s="383"/>
      <c r="V5" s="466" t="s">
        <v>47</v>
      </c>
      <c r="W5" s="330" t="s">
        <v>95</v>
      </c>
      <c r="X5" s="331"/>
      <c r="Y5" s="332">
        <v>40</v>
      </c>
      <c r="Z5" s="332">
        <v>20</v>
      </c>
    </row>
    <row r="6" spans="1:26" ht="15.75" x14ac:dyDescent="0.3">
      <c r="A6" s="457" t="s">
        <v>252</v>
      </c>
      <c r="B6" s="916">
        <f>'START HERE'!C13</f>
        <v>0</v>
      </c>
      <c r="C6" s="916"/>
      <c r="D6" s="916"/>
      <c r="E6" s="364"/>
      <c r="F6" s="364"/>
      <c r="G6" s="364"/>
      <c r="H6" s="364"/>
      <c r="I6" s="369"/>
      <c r="K6" s="460" t="s">
        <v>49</v>
      </c>
      <c r="L6" s="459">
        <f>'START HERE'!$X$43</f>
        <v>0</v>
      </c>
      <c r="N6" s="385"/>
      <c r="O6" s="385"/>
      <c r="P6" s="385"/>
      <c r="Q6" s="383"/>
      <c r="V6" s="467" t="s">
        <v>257</v>
      </c>
      <c r="W6" s="328" t="s">
        <v>96</v>
      </c>
      <c r="X6" s="331"/>
      <c r="Y6" s="332">
        <v>20</v>
      </c>
      <c r="Z6" s="332">
        <v>20</v>
      </c>
    </row>
    <row r="7" spans="1:26" x14ac:dyDescent="0.25">
      <c r="A7" s="457" t="s">
        <v>144</v>
      </c>
      <c r="B7" s="916">
        <f>'START HERE'!C14</f>
        <v>0</v>
      </c>
      <c r="C7" s="916"/>
      <c r="D7" s="916"/>
      <c r="E7" s="364"/>
      <c r="F7" s="364"/>
      <c r="G7" s="364"/>
      <c r="H7" s="364"/>
      <c r="I7" s="369"/>
      <c r="K7" s="460" t="s">
        <v>50</v>
      </c>
      <c r="L7" s="459">
        <f>'START HERE'!$AE$33</f>
        <v>0</v>
      </c>
      <c r="N7" s="386"/>
      <c r="O7" s="386"/>
      <c r="P7" s="386"/>
      <c r="V7" s="334" t="s">
        <v>56</v>
      </c>
      <c r="W7" s="447" t="s">
        <v>97</v>
      </c>
      <c r="X7" s="447"/>
      <c r="Y7" s="335">
        <v>30</v>
      </c>
      <c r="Z7" s="335">
        <v>30</v>
      </c>
    </row>
    <row r="8" spans="1:26" x14ac:dyDescent="0.25">
      <c r="A8" s="458" t="s">
        <v>17</v>
      </c>
      <c r="B8" s="1082">
        <f>'START HERE'!C15</f>
        <v>0</v>
      </c>
      <c r="C8" s="1082"/>
      <c r="D8" s="1082"/>
      <c r="E8" s="364"/>
      <c r="F8" s="364"/>
      <c r="G8" s="364"/>
      <c r="H8" s="364"/>
      <c r="I8" s="369"/>
      <c r="K8" s="460" t="s">
        <v>51</v>
      </c>
      <c r="L8" s="459">
        <f>'START HERE'!AA48</f>
        <v>0</v>
      </c>
      <c r="N8" s="386"/>
      <c r="V8" s="336" t="s">
        <v>57</v>
      </c>
      <c r="W8" s="447" t="s">
        <v>98</v>
      </c>
      <c r="X8" s="447"/>
      <c r="Y8" s="335">
        <v>4</v>
      </c>
      <c r="Z8" s="335">
        <v>4</v>
      </c>
    </row>
    <row r="9" spans="1:26" x14ac:dyDescent="0.25">
      <c r="A9" s="457"/>
      <c r="B9" s="1083"/>
      <c r="C9" s="1083"/>
      <c r="D9" s="1083"/>
      <c r="E9" s="364"/>
      <c r="F9" s="364"/>
      <c r="G9" s="364"/>
      <c r="H9" s="364"/>
      <c r="I9" s="369"/>
      <c r="K9" s="460" t="s">
        <v>52</v>
      </c>
      <c r="L9" s="459">
        <f>'START HERE'!$X$39</f>
        <v>0</v>
      </c>
      <c r="N9" s="386"/>
      <c r="V9" s="337" t="s">
        <v>58</v>
      </c>
      <c r="W9" s="447" t="s">
        <v>99</v>
      </c>
      <c r="X9" s="447"/>
      <c r="Y9" s="335">
        <v>4</v>
      </c>
      <c r="Z9" s="335">
        <v>4</v>
      </c>
    </row>
    <row r="10" spans="1:26" x14ac:dyDescent="0.25">
      <c r="A10" s="370"/>
      <c r="B10" s="364"/>
      <c r="C10" s="364"/>
      <c r="D10" s="364"/>
      <c r="E10" s="364"/>
      <c r="F10" s="364"/>
      <c r="G10" s="364"/>
      <c r="H10" s="364"/>
      <c r="I10" s="369"/>
      <c r="K10" s="460" t="s">
        <v>53</v>
      </c>
      <c r="L10" s="459">
        <f>'START HERE'!$V$49</f>
        <v>0</v>
      </c>
      <c r="N10" s="386"/>
      <c r="V10" s="466" t="s">
        <v>60</v>
      </c>
      <c r="W10" s="447" t="s">
        <v>100</v>
      </c>
      <c r="X10" s="447"/>
      <c r="Y10" s="335">
        <v>40</v>
      </c>
      <c r="Z10" s="335">
        <v>40</v>
      </c>
    </row>
    <row r="11" spans="1:26" s="371" customFormat="1" x14ac:dyDescent="0.25">
      <c r="B11" s="1086" t="s">
        <v>298</v>
      </c>
      <c r="C11" s="1025"/>
      <c r="D11" s="1087"/>
      <c r="F11" s="1086" t="s">
        <v>299</v>
      </c>
      <c r="G11" s="1025"/>
      <c r="H11" s="1087"/>
      <c r="J11" s="383"/>
      <c r="K11" s="460" t="s">
        <v>54</v>
      </c>
      <c r="L11" s="463">
        <f>'START HERE'!$V$27</f>
        <v>0</v>
      </c>
      <c r="M11" s="383"/>
      <c r="N11" s="386"/>
      <c r="O11" s="383"/>
      <c r="P11" s="383"/>
      <c r="Q11" s="382"/>
      <c r="R11" s="383"/>
      <c r="S11" s="383"/>
      <c r="T11" s="383"/>
      <c r="U11" s="383"/>
      <c r="V11" s="468"/>
      <c r="W11" s="447"/>
      <c r="X11" s="447"/>
      <c r="Y11" s="447"/>
      <c r="Z11" s="447"/>
    </row>
    <row r="12" spans="1:26" s="371" customFormat="1" x14ac:dyDescent="0.25">
      <c r="B12" s="510" t="s">
        <v>2</v>
      </c>
      <c r="C12" s="511" t="s">
        <v>3</v>
      </c>
      <c r="D12" s="512" t="s">
        <v>4</v>
      </c>
      <c r="E12" s="363"/>
      <c r="F12" s="510" t="s">
        <v>2</v>
      </c>
      <c r="G12" s="511" t="s">
        <v>3</v>
      </c>
      <c r="H12" s="512" t="s">
        <v>4</v>
      </c>
      <c r="J12" s="385"/>
      <c r="K12" s="460" t="s">
        <v>55</v>
      </c>
      <c r="L12" s="459">
        <f>'START HERE'!$V$43</f>
        <v>0</v>
      </c>
      <c r="M12" s="383"/>
      <c r="N12" s="386"/>
      <c r="O12" s="383"/>
      <c r="P12" s="383"/>
      <c r="Q12" s="382"/>
      <c r="R12" s="383"/>
      <c r="S12" s="383"/>
      <c r="T12" s="383"/>
      <c r="U12" s="383"/>
      <c r="V12" s="339"/>
      <c r="W12" s="466" t="s">
        <v>32</v>
      </c>
      <c r="X12" s="447"/>
      <c r="Y12" s="447">
        <f>(1.6*(Y9-Y8))/Y10</f>
        <v>0</v>
      </c>
      <c r="Z12" s="447">
        <f>(1.6*(Z9-Z8))/Z10</f>
        <v>0</v>
      </c>
    </row>
    <row r="13" spans="1:26" ht="22.5" customHeight="1" x14ac:dyDescent="0.3">
      <c r="B13" s="62">
        <v>50</v>
      </c>
      <c r="C13" s="62">
        <v>250</v>
      </c>
      <c r="D13" s="62">
        <v>300</v>
      </c>
      <c r="F13" s="62"/>
      <c r="G13" s="62"/>
      <c r="H13" s="62"/>
      <c r="J13" s="386"/>
      <c r="K13" s="386"/>
      <c r="L13" s="385"/>
      <c r="M13" s="127"/>
      <c r="N13" s="386"/>
      <c r="V13" s="339"/>
      <c r="W13" s="467" t="s">
        <v>258</v>
      </c>
      <c r="X13" s="447"/>
      <c r="Y13" s="340">
        <f>1+(0.5/(1+(EXP((Y5-60)/10))))</f>
        <v>1.4403985389889411</v>
      </c>
      <c r="Z13" s="340">
        <f>1+(0.5/(1+(EXP((Z5-60)/10))))</f>
        <v>1.4910068950189541</v>
      </c>
    </row>
    <row r="14" spans="1:26" x14ac:dyDescent="0.25">
      <c r="J14" s="385"/>
      <c r="K14" s="386"/>
      <c r="L14" s="385"/>
      <c r="M14" s="386"/>
      <c r="N14" s="386"/>
      <c r="V14" s="339"/>
      <c r="W14" s="468"/>
      <c r="X14" s="447"/>
      <c r="Y14" s="447"/>
      <c r="Z14" s="447"/>
    </row>
    <row r="15" spans="1:26" ht="15" customHeight="1" x14ac:dyDescent="0.3">
      <c r="C15" s="363" t="s">
        <v>302</v>
      </c>
      <c r="D15" s="363" t="s">
        <v>303</v>
      </c>
      <c r="J15" s="386"/>
      <c r="K15" s="386"/>
      <c r="L15" s="387"/>
      <c r="N15" s="386"/>
      <c r="V15" s="469"/>
      <c r="W15" s="467" t="s">
        <v>259</v>
      </c>
      <c r="X15" s="447"/>
      <c r="Y15" s="447">
        <f>Y8+((Y9-Y8)/(1+(2*Y12)))</f>
        <v>4</v>
      </c>
      <c r="Z15" s="447">
        <f>Z8+((Z9-Z8)/(1+(2*Z12)))</f>
        <v>4</v>
      </c>
    </row>
    <row r="16" spans="1:26" x14ac:dyDescent="0.25">
      <c r="B16" s="363" t="s">
        <v>304</v>
      </c>
      <c r="D16" s="363">
        <f>D13+C13</f>
        <v>550</v>
      </c>
      <c r="J16" s="386"/>
      <c r="K16" s="386"/>
      <c r="L16" s="387"/>
      <c r="N16" s="386"/>
      <c r="V16" s="469"/>
      <c r="W16" s="467" t="s">
        <v>66</v>
      </c>
      <c r="X16" s="447"/>
      <c r="Y16" s="447">
        <f>303*Y15</f>
        <v>1212</v>
      </c>
      <c r="Z16" s="447">
        <f>303*Z15</f>
        <v>1212</v>
      </c>
    </row>
    <row r="17" spans="1:26" x14ac:dyDescent="0.25">
      <c r="J17" s="386"/>
      <c r="K17" s="386"/>
      <c r="L17" s="387"/>
      <c r="N17" s="386"/>
      <c r="V17" s="469"/>
      <c r="W17" s="467"/>
      <c r="X17" s="447"/>
      <c r="Y17" s="447"/>
      <c r="Z17" s="447"/>
    </row>
    <row r="18" spans="1:26" ht="15.75" customHeight="1" x14ac:dyDescent="0.3">
      <c r="B18" s="363" t="s">
        <v>305</v>
      </c>
      <c r="J18" s="386"/>
      <c r="K18" s="386"/>
      <c r="L18" s="389"/>
      <c r="N18" s="386"/>
      <c r="V18" s="446"/>
      <c r="W18" s="467" t="s">
        <v>260</v>
      </c>
      <c r="X18" s="447"/>
      <c r="Y18" s="342">
        <f>(1+(0.2*Y15))*(Y13*0.21)</f>
        <v>0.54447064773781972</v>
      </c>
      <c r="Z18" s="447">
        <f>(1+(0.2*Z15))*(Z13*0.21)</f>
        <v>0.56360060631716458</v>
      </c>
    </row>
    <row r="19" spans="1:26" x14ac:dyDescent="0.25">
      <c r="B19" s="363" t="s">
        <v>306</v>
      </c>
      <c r="J19" s="385"/>
      <c r="K19" s="385"/>
      <c r="L19" s="391"/>
      <c r="M19" s="227"/>
      <c r="N19" s="386"/>
      <c r="V19" s="343"/>
      <c r="W19" s="467" t="s">
        <v>89</v>
      </c>
      <c r="X19" s="447"/>
      <c r="Y19" s="447">
        <f>1-(0.00347*(Y7-30))-(0.978*((1/Y6)-0.05))</f>
        <v>1</v>
      </c>
      <c r="Z19" s="447">
        <f>1-(0.00347*(Z7-30))-(0.978*((1/Z6)-0.05))</f>
        <v>1</v>
      </c>
    </row>
    <row r="20" spans="1:26" x14ac:dyDescent="0.25">
      <c r="B20" s="363" t="s">
        <v>307</v>
      </c>
      <c r="J20" s="385"/>
      <c r="K20" s="385"/>
      <c r="M20" s="386"/>
    </row>
    <row r="21" spans="1:26" x14ac:dyDescent="0.25">
      <c r="B21" s="363" t="s">
        <v>308</v>
      </c>
      <c r="J21" s="385"/>
      <c r="K21" s="385"/>
    </row>
    <row r="22" spans="1:26" x14ac:dyDescent="0.25">
      <c r="J22" s="386"/>
      <c r="K22" s="387"/>
    </row>
    <row r="23" spans="1:26" x14ac:dyDescent="0.25">
      <c r="J23" s="386"/>
      <c r="K23" s="387"/>
      <c r="M23" s="363"/>
      <c r="N23" s="363"/>
      <c r="O23" s="363"/>
    </row>
    <row r="24" spans="1:26" x14ac:dyDescent="0.25">
      <c r="J24" s="386"/>
      <c r="K24" s="387"/>
      <c r="M24" s="158"/>
      <c r="N24" s="157"/>
      <c r="O24" s="157"/>
    </row>
    <row r="25" spans="1:26" x14ac:dyDescent="0.25">
      <c r="B25" s="1088" t="s">
        <v>300</v>
      </c>
      <c r="C25" s="1088"/>
      <c r="D25" s="1088"/>
      <c r="F25" s="1088" t="s">
        <v>301</v>
      </c>
      <c r="G25" s="1088"/>
      <c r="H25" s="1088"/>
      <c r="J25" s="386"/>
      <c r="K25" s="387"/>
      <c r="M25" s="158"/>
      <c r="N25" s="157"/>
      <c r="O25" s="157"/>
    </row>
    <row r="26" spans="1:26" x14ac:dyDescent="0.25">
      <c r="B26" s="502" t="s">
        <v>2</v>
      </c>
      <c r="C26" s="502" t="s">
        <v>3</v>
      </c>
      <c r="D26" s="502" t="s">
        <v>4</v>
      </c>
      <c r="F26" s="502" t="s">
        <v>2</v>
      </c>
      <c r="G26" s="502" t="s">
        <v>3</v>
      </c>
      <c r="H26" s="502" t="s">
        <v>4</v>
      </c>
      <c r="J26" s="386"/>
      <c r="K26" s="387"/>
      <c r="M26" s="158"/>
      <c r="N26" s="157"/>
      <c r="O26" s="157"/>
    </row>
    <row r="27" spans="1:26" x14ac:dyDescent="0.25">
      <c r="B27" s="62"/>
      <c r="C27" s="62"/>
      <c r="D27" s="62"/>
      <c r="F27" s="62"/>
      <c r="G27" s="62"/>
      <c r="H27" s="62"/>
      <c r="J27" s="386"/>
      <c r="K27" s="387"/>
      <c r="M27" s="158"/>
      <c r="N27" s="157"/>
      <c r="O27" s="157"/>
    </row>
    <row r="28" spans="1:26" x14ac:dyDescent="0.25">
      <c r="J28" s="386"/>
      <c r="K28" s="387"/>
      <c r="M28" s="158"/>
      <c r="N28" s="157"/>
      <c r="O28" s="157"/>
    </row>
    <row r="29" spans="1:26" x14ac:dyDescent="0.25">
      <c r="J29" s="386"/>
      <c r="K29" s="387"/>
      <c r="M29" s="158"/>
      <c r="N29" s="157"/>
      <c r="O29" s="157"/>
    </row>
    <row r="30" spans="1:26" x14ac:dyDescent="0.25">
      <c r="J30" s="386"/>
      <c r="K30" s="387"/>
      <c r="M30" s="158"/>
      <c r="N30" s="157"/>
      <c r="O30" s="157"/>
    </row>
    <row r="31" spans="1:26" x14ac:dyDescent="0.25">
      <c r="J31" s="386"/>
      <c r="K31" s="387"/>
      <c r="M31" s="158"/>
      <c r="N31" s="157"/>
      <c r="O31" s="157"/>
    </row>
    <row r="32" spans="1:26" x14ac:dyDescent="0.25">
      <c r="A32" s="165" t="s">
        <v>1</v>
      </c>
      <c r="B32" s="166"/>
      <c r="C32" s="166"/>
      <c r="D32" s="166"/>
      <c r="E32" s="500" t="s">
        <v>152</v>
      </c>
      <c r="F32" s="166"/>
      <c r="G32" s="166"/>
      <c r="H32" s="166"/>
      <c r="I32" s="414"/>
      <c r="J32" s="386"/>
      <c r="K32" s="387"/>
      <c r="M32" s="158"/>
      <c r="N32" s="157"/>
      <c r="O32" s="157"/>
    </row>
    <row r="33" spans="1:15" ht="15.75" thickBot="1" x14ac:dyDescent="0.3">
      <c r="A33" s="415"/>
      <c r="B33" s="416" t="s">
        <v>48</v>
      </c>
      <c r="C33" s="416"/>
      <c r="D33" s="416" t="s">
        <v>50</v>
      </c>
      <c r="E33" s="416"/>
      <c r="F33" s="416" t="s">
        <v>52</v>
      </c>
      <c r="G33" s="416"/>
      <c r="H33" s="416" t="s">
        <v>54</v>
      </c>
      <c r="I33" s="417"/>
      <c r="J33" s="386"/>
      <c r="K33" s="387"/>
      <c r="M33" s="158"/>
      <c r="N33" s="157"/>
      <c r="O33" s="157"/>
    </row>
    <row r="34" spans="1:15" ht="15.75" thickTop="1" x14ac:dyDescent="0.25">
      <c r="A34" s="372" t="s">
        <v>153</v>
      </c>
      <c r="B34" s="62">
        <v>20</v>
      </c>
      <c r="C34" s="504"/>
      <c r="D34" s="62">
        <v>0</v>
      </c>
      <c r="E34" s="504"/>
      <c r="F34" s="62">
        <v>210</v>
      </c>
      <c r="G34" s="504"/>
      <c r="H34" s="62">
        <v>190</v>
      </c>
      <c r="I34" s="507"/>
      <c r="J34" s="386"/>
      <c r="K34" s="387"/>
      <c r="M34" s="158"/>
      <c r="N34" s="157"/>
      <c r="O34" s="157"/>
    </row>
    <row r="35" spans="1:15" x14ac:dyDescent="0.25">
      <c r="A35" s="372" t="s">
        <v>154</v>
      </c>
      <c r="B35" s="373"/>
      <c r="C35" s="505"/>
      <c r="D35" s="373"/>
      <c r="E35" s="505"/>
      <c r="F35" s="373"/>
      <c r="G35" s="505"/>
      <c r="H35" s="373"/>
      <c r="I35" s="508"/>
      <c r="J35" s="386"/>
      <c r="K35" s="387"/>
      <c r="M35" s="158"/>
      <c r="N35" s="157"/>
      <c r="O35" s="157"/>
    </row>
    <row r="36" spans="1:15" x14ac:dyDescent="0.25">
      <c r="A36" s="372" t="s">
        <v>155</v>
      </c>
      <c r="B36" s="373">
        <v>175</v>
      </c>
      <c r="C36" s="505"/>
      <c r="D36" s="373">
        <v>20</v>
      </c>
      <c r="E36" s="505"/>
      <c r="F36" s="373">
        <v>50</v>
      </c>
      <c r="G36" s="505"/>
      <c r="H36" s="373">
        <v>280</v>
      </c>
      <c r="I36" s="508"/>
      <c r="J36" s="386"/>
      <c r="K36" s="387"/>
      <c r="M36" s="158"/>
      <c r="N36" s="157"/>
      <c r="O36" s="157"/>
    </row>
    <row r="37" spans="1:15" x14ac:dyDescent="0.25">
      <c r="A37" s="372" t="s">
        <v>156</v>
      </c>
      <c r="B37" s="373"/>
      <c r="C37" s="505"/>
      <c r="D37" s="373"/>
      <c r="E37" s="505"/>
      <c r="F37" s="373"/>
      <c r="G37" s="505"/>
      <c r="H37" s="373"/>
      <c r="I37" s="508"/>
      <c r="J37" s="386"/>
      <c r="K37" s="387"/>
      <c r="M37" s="158"/>
      <c r="N37" s="157"/>
      <c r="O37" s="157"/>
    </row>
    <row r="38" spans="1:15" x14ac:dyDescent="0.25">
      <c r="A38" s="372" t="s">
        <v>61</v>
      </c>
      <c r="B38" s="373">
        <v>95</v>
      </c>
      <c r="C38" s="505"/>
      <c r="D38" s="373">
        <v>110</v>
      </c>
      <c r="E38" s="505"/>
      <c r="F38" s="373">
        <v>30</v>
      </c>
      <c r="G38" s="505"/>
      <c r="H38" s="373">
        <v>85</v>
      </c>
      <c r="I38" s="508"/>
      <c r="J38" s="386"/>
      <c r="K38" s="387"/>
      <c r="M38" s="158"/>
      <c r="N38" s="157"/>
      <c r="O38" s="157"/>
    </row>
    <row r="39" spans="1:15" x14ac:dyDescent="0.25">
      <c r="A39" s="372" t="s">
        <v>62</v>
      </c>
      <c r="B39" s="373"/>
      <c r="C39" s="505"/>
      <c r="D39" s="373"/>
      <c r="E39" s="505"/>
      <c r="F39" s="373"/>
      <c r="G39" s="505"/>
      <c r="H39" s="373"/>
      <c r="I39" s="508"/>
      <c r="J39" s="386"/>
      <c r="K39" s="387"/>
      <c r="M39" s="158"/>
      <c r="N39" s="157"/>
      <c r="O39" s="157"/>
    </row>
    <row r="40" spans="1:15" x14ac:dyDescent="0.25">
      <c r="A40" s="372" t="s">
        <v>63</v>
      </c>
      <c r="B40" s="373">
        <v>0</v>
      </c>
      <c r="C40" s="505"/>
      <c r="D40" s="373">
        <v>395</v>
      </c>
      <c r="E40" s="505"/>
      <c r="F40" s="373">
        <v>105</v>
      </c>
      <c r="G40" s="505"/>
      <c r="H40" s="373">
        <v>50</v>
      </c>
      <c r="I40" s="508"/>
      <c r="J40" s="386"/>
      <c r="K40" s="387"/>
      <c r="M40" s="158"/>
      <c r="N40" s="157"/>
      <c r="O40" s="157"/>
    </row>
    <row r="41" spans="1:15" x14ac:dyDescent="0.25">
      <c r="A41" s="372" t="s">
        <v>64</v>
      </c>
      <c r="B41" s="373"/>
      <c r="C41" s="505"/>
      <c r="D41" s="373"/>
      <c r="E41" s="505"/>
      <c r="F41" s="373"/>
      <c r="G41" s="505"/>
      <c r="H41" s="373"/>
      <c r="I41" s="508"/>
      <c r="J41" s="386"/>
      <c r="K41" s="387"/>
      <c r="M41" s="158"/>
      <c r="N41" s="157"/>
      <c r="O41" s="157"/>
    </row>
    <row r="42" spans="1:15" x14ac:dyDescent="0.25">
      <c r="A42" s="372" t="s">
        <v>65</v>
      </c>
      <c r="B42" s="207">
        <f>SUM(B34:B41)</f>
        <v>290</v>
      </c>
      <c r="C42" s="506"/>
      <c r="D42" s="207">
        <f>SUM(D34:D41)</f>
        <v>525</v>
      </c>
      <c r="E42" s="506"/>
      <c r="F42" s="207">
        <f>SUM(F34:F41)</f>
        <v>395</v>
      </c>
      <c r="G42" s="506"/>
      <c r="H42" s="207">
        <f>SUM(H34:H41)</f>
        <v>605</v>
      </c>
      <c r="I42" s="509"/>
      <c r="J42" s="386"/>
      <c r="K42" s="387"/>
      <c r="M42" s="158"/>
      <c r="N42" s="157"/>
      <c r="O42" s="157"/>
    </row>
    <row r="43" spans="1:15" x14ac:dyDescent="0.25">
      <c r="A43" s="370"/>
      <c r="B43" s="364"/>
      <c r="C43" s="364"/>
      <c r="D43" s="364"/>
      <c r="E43" s="364"/>
      <c r="F43" s="364"/>
      <c r="G43" s="364"/>
      <c r="H43" s="364"/>
      <c r="I43" s="369"/>
      <c r="J43" s="386"/>
      <c r="K43" s="387"/>
      <c r="M43" s="158"/>
      <c r="N43" s="157"/>
      <c r="O43" s="157"/>
    </row>
    <row r="44" spans="1:15" x14ac:dyDescent="0.25">
      <c r="A44" s="370"/>
      <c r="B44" s="364"/>
      <c r="C44" s="364"/>
      <c r="D44" s="364"/>
      <c r="E44" s="364"/>
      <c r="F44" s="364"/>
      <c r="G44" s="364"/>
      <c r="H44" s="364"/>
      <c r="I44" s="369"/>
      <c r="J44" s="386"/>
      <c r="K44" s="387"/>
      <c r="M44" s="158"/>
      <c r="N44" s="157"/>
      <c r="O44" s="157"/>
    </row>
    <row r="45" spans="1:15" x14ac:dyDescent="0.25">
      <c r="A45" s="370"/>
      <c r="B45" s="364"/>
      <c r="C45" s="364"/>
      <c r="D45" s="364"/>
      <c r="E45" s="364"/>
      <c r="F45" s="364"/>
      <c r="G45" s="364"/>
      <c r="H45" s="364"/>
      <c r="I45" s="369"/>
      <c r="J45" s="386"/>
      <c r="K45" s="387"/>
      <c r="M45" s="158"/>
      <c r="N45" s="157"/>
      <c r="O45" s="157"/>
    </row>
    <row r="46" spans="1:15" x14ac:dyDescent="0.25">
      <c r="A46" s="370"/>
      <c r="B46" s="364"/>
      <c r="C46" s="364"/>
      <c r="D46" s="364"/>
      <c r="E46" s="364"/>
      <c r="F46" s="364"/>
      <c r="G46" s="364"/>
      <c r="H46" s="364"/>
      <c r="I46" s="369"/>
      <c r="J46" s="386"/>
      <c r="K46" s="387"/>
      <c r="M46" s="158"/>
      <c r="N46" s="157"/>
      <c r="O46" s="157"/>
    </row>
    <row r="47" spans="1:15" x14ac:dyDescent="0.25">
      <c r="A47" s="370"/>
      <c r="B47" s="364"/>
      <c r="C47" s="364"/>
      <c r="D47" s="364"/>
      <c r="E47" s="364"/>
      <c r="F47" s="364"/>
      <c r="G47" s="364"/>
      <c r="H47" s="364"/>
      <c r="I47" s="369"/>
      <c r="J47" s="386"/>
      <c r="K47" s="387"/>
      <c r="M47" s="158"/>
      <c r="N47" s="157"/>
      <c r="O47" s="157"/>
    </row>
    <row r="48" spans="1:15" x14ac:dyDescent="0.25">
      <c r="A48" s="370"/>
      <c r="B48" s="364"/>
      <c r="C48" s="364"/>
      <c r="D48" s="364"/>
      <c r="E48" s="364"/>
      <c r="F48" s="364"/>
      <c r="G48" s="364"/>
      <c r="H48" s="364"/>
      <c r="I48" s="369"/>
      <c r="J48" s="386"/>
      <c r="K48" s="387"/>
      <c r="M48" s="158"/>
      <c r="N48" s="157"/>
      <c r="O48" s="157"/>
    </row>
    <row r="49" spans="1:22" x14ac:dyDescent="0.25">
      <c r="A49" s="370"/>
      <c r="B49" s="364"/>
      <c r="C49" s="364"/>
      <c r="D49" s="364"/>
      <c r="E49" s="364"/>
      <c r="F49" s="364"/>
      <c r="G49" s="364"/>
      <c r="H49" s="364"/>
      <c r="I49" s="369"/>
      <c r="J49" s="386"/>
      <c r="K49" s="387"/>
      <c r="M49" s="158"/>
      <c r="N49" s="157"/>
      <c r="O49" s="157"/>
    </row>
    <row r="50" spans="1:22" x14ac:dyDescent="0.25">
      <c r="A50" s="370"/>
      <c r="B50" s="364"/>
      <c r="C50" s="364"/>
      <c r="D50" s="364"/>
      <c r="E50" s="364"/>
      <c r="F50" s="364"/>
      <c r="G50" s="364"/>
      <c r="H50" s="364"/>
      <c r="I50" s="369"/>
      <c r="J50" s="386"/>
      <c r="K50" s="387"/>
      <c r="M50" s="158"/>
      <c r="N50" s="157"/>
      <c r="O50" s="157"/>
    </row>
    <row r="51" spans="1:22" x14ac:dyDescent="0.25">
      <c r="A51" s="370"/>
      <c r="B51" s="364"/>
      <c r="C51" s="364"/>
      <c r="D51" s="364"/>
      <c r="E51" s="364"/>
      <c r="F51" s="364"/>
      <c r="G51" s="364"/>
      <c r="H51" s="364"/>
      <c r="I51" s="369"/>
      <c r="J51" s="386"/>
      <c r="K51" s="387"/>
      <c r="M51" s="158"/>
      <c r="N51" s="157"/>
      <c r="O51" s="157"/>
    </row>
    <row r="52" spans="1:22" x14ac:dyDescent="0.25">
      <c r="A52" s="370"/>
      <c r="B52" s="364"/>
      <c r="C52" s="364"/>
      <c r="D52" s="364"/>
      <c r="E52" s="364"/>
      <c r="F52" s="364"/>
      <c r="G52" s="364"/>
      <c r="H52" s="364"/>
      <c r="I52" s="369"/>
      <c r="J52" s="386"/>
      <c r="K52" s="387"/>
      <c r="M52" s="158"/>
      <c r="N52" s="157"/>
      <c r="O52" s="157"/>
    </row>
    <row r="53" spans="1:22" x14ac:dyDescent="0.25">
      <c r="A53" s="370"/>
      <c r="B53" s="364"/>
      <c r="C53" s="364"/>
      <c r="D53" s="364"/>
      <c r="E53" s="364"/>
      <c r="F53" s="364"/>
      <c r="G53" s="364"/>
      <c r="H53" s="364"/>
      <c r="I53" s="369"/>
      <c r="J53" s="386"/>
      <c r="K53" s="387"/>
      <c r="M53" s="158"/>
      <c r="N53" s="157"/>
      <c r="O53" s="157"/>
    </row>
    <row r="54" spans="1:22" x14ac:dyDescent="0.25">
      <c r="A54" s="370"/>
      <c r="B54" s="364"/>
      <c r="C54" s="364"/>
      <c r="D54" s="364"/>
      <c r="E54" s="364"/>
      <c r="F54" s="364"/>
      <c r="G54" s="364"/>
      <c r="H54" s="364"/>
      <c r="I54" s="369"/>
      <c r="J54" s="386"/>
      <c r="K54" s="387"/>
      <c r="M54" s="158"/>
      <c r="N54" s="157"/>
      <c r="O54" s="157"/>
    </row>
    <row r="55" spans="1:22" x14ac:dyDescent="0.25">
      <c r="A55" s="370"/>
      <c r="B55" s="364"/>
      <c r="C55" s="364"/>
      <c r="D55" s="364"/>
      <c r="E55" s="364"/>
      <c r="F55" s="364"/>
      <c r="G55" s="364"/>
      <c r="H55" s="364"/>
      <c r="I55" s="369"/>
      <c r="J55" s="386"/>
      <c r="K55" s="387"/>
      <c r="M55" s="421" t="s">
        <v>147</v>
      </c>
      <c r="N55" s="422"/>
    </row>
    <row r="56" spans="1:22" x14ac:dyDescent="0.25">
      <c r="A56" s="370"/>
      <c r="B56" s="364"/>
      <c r="C56" s="364"/>
      <c r="D56" s="364"/>
      <c r="E56" s="364"/>
      <c r="F56" s="364"/>
      <c r="G56" s="364"/>
      <c r="H56" s="364"/>
      <c r="I56" s="369"/>
      <c r="J56" s="386"/>
      <c r="K56" s="387"/>
      <c r="M56" s="158" t="s">
        <v>6</v>
      </c>
      <c r="N56" s="157"/>
      <c r="O56" s="157" t="s">
        <v>7</v>
      </c>
    </row>
    <row r="57" spans="1:22" x14ac:dyDescent="0.25">
      <c r="A57" s="249" t="s">
        <v>67</v>
      </c>
      <c r="B57" s="167" t="s">
        <v>28</v>
      </c>
      <c r="C57" s="167" t="s">
        <v>29</v>
      </c>
      <c r="D57" s="167" t="s">
        <v>30</v>
      </c>
      <c r="E57" s="167" t="s">
        <v>31</v>
      </c>
      <c r="F57" s="167" t="s">
        <v>32</v>
      </c>
      <c r="G57" s="167" t="s">
        <v>33</v>
      </c>
      <c r="H57" s="167" t="s">
        <v>68</v>
      </c>
      <c r="I57" s="172" t="s">
        <v>35</v>
      </c>
      <c r="J57" s="388"/>
      <c r="K57" s="389"/>
      <c r="M57" s="156" t="s">
        <v>8</v>
      </c>
      <c r="N57" s="405"/>
      <c r="O57" s="428">
        <v>1</v>
      </c>
    </row>
    <row r="58" spans="1:22" x14ac:dyDescent="0.25">
      <c r="A58" s="64" t="s">
        <v>0</v>
      </c>
      <c r="B58" s="162">
        <f>1-B59-B60</f>
        <v>0.98</v>
      </c>
      <c r="C58" s="162">
        <f t="shared" ref="C58:I58" si="0">1-C59-C60</f>
        <v>1</v>
      </c>
      <c r="D58" s="162">
        <f t="shared" si="0"/>
        <v>0.98</v>
      </c>
      <c r="E58" s="162">
        <f t="shared" si="0"/>
        <v>1</v>
      </c>
      <c r="F58" s="162">
        <f t="shared" si="0"/>
        <v>0.98</v>
      </c>
      <c r="G58" s="162">
        <f t="shared" si="0"/>
        <v>1</v>
      </c>
      <c r="H58" s="162">
        <f t="shared" si="0"/>
        <v>0.98</v>
      </c>
      <c r="I58" s="162">
        <f t="shared" si="0"/>
        <v>1</v>
      </c>
      <c r="J58" s="390"/>
      <c r="K58" s="391"/>
      <c r="M58" s="156" t="s">
        <v>270</v>
      </c>
      <c r="N58" s="405"/>
      <c r="O58" s="428">
        <v>2</v>
      </c>
    </row>
    <row r="59" spans="1:22" x14ac:dyDescent="0.25">
      <c r="A59" s="64" t="s">
        <v>268</v>
      </c>
      <c r="B59" s="122">
        <v>0.02</v>
      </c>
      <c r="C59" s="122">
        <v>0</v>
      </c>
      <c r="D59" s="122">
        <v>0.02</v>
      </c>
      <c r="E59" s="122">
        <v>0</v>
      </c>
      <c r="F59" s="122">
        <v>0.02</v>
      </c>
      <c r="G59" s="122">
        <v>0</v>
      </c>
      <c r="H59" s="122">
        <v>0.02</v>
      </c>
      <c r="I59" s="426">
        <v>0</v>
      </c>
      <c r="J59" s="390"/>
      <c r="K59" s="387"/>
      <c r="L59" s="387"/>
      <c r="M59" s="156" t="s">
        <v>131</v>
      </c>
      <c r="N59" s="405"/>
      <c r="O59" s="428">
        <v>0.5</v>
      </c>
    </row>
    <row r="60" spans="1:22" x14ac:dyDescent="0.25">
      <c r="A60" s="443" t="s">
        <v>92</v>
      </c>
      <c r="B60" s="122">
        <v>0</v>
      </c>
      <c r="C60" s="122">
        <v>0</v>
      </c>
      <c r="D60" s="122">
        <v>0</v>
      </c>
      <c r="E60" s="122">
        <v>0</v>
      </c>
      <c r="F60" s="122">
        <v>0</v>
      </c>
      <c r="G60" s="122">
        <v>0</v>
      </c>
      <c r="H60" s="122">
        <v>0</v>
      </c>
      <c r="I60" s="426">
        <v>0</v>
      </c>
      <c r="J60" s="390"/>
      <c r="K60" s="389"/>
      <c r="L60" s="389"/>
      <c r="M60" s="156"/>
      <c r="N60" s="405"/>
      <c r="O60" s="428"/>
    </row>
    <row r="61" spans="1:22" ht="15.75" thickBot="1" x14ac:dyDescent="0.3">
      <c r="A61" s="444" t="s">
        <v>271</v>
      </c>
      <c r="B61" s="483">
        <v>0</v>
      </c>
      <c r="C61" s="483">
        <v>0</v>
      </c>
      <c r="D61" s="483">
        <v>0</v>
      </c>
      <c r="E61" s="483">
        <v>0</v>
      </c>
      <c r="F61" s="483">
        <v>50</v>
      </c>
      <c r="G61" s="483">
        <v>0</v>
      </c>
      <c r="H61" s="483">
        <v>0</v>
      </c>
      <c r="I61" s="484">
        <v>0</v>
      </c>
      <c r="J61" s="390"/>
      <c r="K61" s="134"/>
      <c r="L61" s="134"/>
      <c r="M61" s="386"/>
    </row>
    <row r="62" spans="1:22" ht="16.5" thickTop="1" thickBot="1" x14ac:dyDescent="0.3">
      <c r="A62" s="409" t="s">
        <v>5</v>
      </c>
      <c r="B62" s="406">
        <v>0.94</v>
      </c>
      <c r="C62" s="406">
        <v>0.92</v>
      </c>
      <c r="D62" s="406">
        <v>0.94</v>
      </c>
      <c r="E62" s="406">
        <v>0.92</v>
      </c>
      <c r="F62" s="406">
        <v>0.94</v>
      </c>
      <c r="G62" s="406">
        <v>0.92</v>
      </c>
      <c r="H62" s="406">
        <v>0.94</v>
      </c>
      <c r="I62" s="427">
        <v>0.92</v>
      </c>
      <c r="J62" s="386"/>
      <c r="K62" s="386"/>
      <c r="L62" s="386"/>
      <c r="M62" s="408" t="s">
        <v>148</v>
      </c>
      <c r="N62" s="407"/>
      <c r="O62" s="429">
        <v>25</v>
      </c>
    </row>
    <row r="63" spans="1:22" ht="16.5" thickTop="1" x14ac:dyDescent="0.3">
      <c r="A63" s="498" t="s">
        <v>69</v>
      </c>
      <c r="B63" s="120">
        <f t="shared" ref="B63:I63" si="1">IF(B$42=0,1,1/(1+(B$59*($O$58-1))+(B$60*($O$59-1))))</f>
        <v>0.98039215686274506</v>
      </c>
      <c r="C63" s="120">
        <f t="shared" si="1"/>
        <v>1</v>
      </c>
      <c r="D63" s="120">
        <f t="shared" si="1"/>
        <v>0.98039215686274506</v>
      </c>
      <c r="E63" s="120">
        <f t="shared" si="1"/>
        <v>1</v>
      </c>
      <c r="F63" s="120">
        <f t="shared" si="1"/>
        <v>0.98039215686274506</v>
      </c>
      <c r="G63" s="120">
        <f t="shared" si="1"/>
        <v>1</v>
      </c>
      <c r="H63" s="120">
        <f t="shared" si="1"/>
        <v>0.98039215686274506</v>
      </c>
      <c r="I63" s="495">
        <f t="shared" si="1"/>
        <v>1</v>
      </c>
      <c r="J63" s="385"/>
      <c r="K63" s="387"/>
      <c r="L63" s="393"/>
      <c r="S63" s="447"/>
      <c r="T63" s="447"/>
      <c r="U63" s="447"/>
      <c r="V63" s="447"/>
    </row>
    <row r="64" spans="1:22" ht="15.75" x14ac:dyDescent="0.3">
      <c r="A64" s="498" t="s">
        <v>269</v>
      </c>
      <c r="B64" s="482">
        <f t="shared" ref="B64:E64" si="2">IF(B76&gt;881,1,(IF(B61&lt;101,(1-(0.000137*B61)),((1119.5-(0.715*B76)-(0.644*B61)+(0.00073*B76*B61))/(1068.6-(0.654*B76))))))</f>
        <v>1</v>
      </c>
      <c r="C64" s="482">
        <f t="shared" si="2"/>
        <v>1</v>
      </c>
      <c r="D64" s="482">
        <f t="shared" si="2"/>
        <v>1</v>
      </c>
      <c r="E64" s="482">
        <f t="shared" si="2"/>
        <v>1</v>
      </c>
      <c r="F64" s="482">
        <f>IF(F76&gt;881,1,(IF(F61&lt;101,(1-(0.000137*F61)),((1119.5-(0.715*F76)-(0.644*F61)+(0.00073*F76*F61))/(1068.6-(0.654*F76))))))</f>
        <v>0.99314999999999998</v>
      </c>
      <c r="G64" s="482">
        <f>IF(G76&gt;881,1,(IF(G61&lt;101,(1-(0.000137*G61)),((1119.5-(0.715*G76)-(0.644*G61)+(0.00073*G76*G61))/(1068.6-(0.654*G76))))))</f>
        <v>1</v>
      </c>
      <c r="H64" s="482">
        <f t="shared" ref="H64:I64" si="3">IF(H76&gt;881,1,(IF(H61&lt;101,(1-(0.000137*H61)),((1119.5-(0.715*H76)-(0.644*H61)+(0.00073*H76*H61))/(1068.6-(0.654*H76))))))</f>
        <v>1</v>
      </c>
      <c r="I64" s="494">
        <f t="shared" si="3"/>
        <v>1</v>
      </c>
      <c r="J64" s="385"/>
      <c r="K64" s="387"/>
      <c r="L64" s="393"/>
      <c r="S64" s="447"/>
      <c r="T64" s="447"/>
      <c r="U64" s="447"/>
      <c r="V64" s="447"/>
    </row>
    <row r="65" spans="1:22" x14ac:dyDescent="0.25">
      <c r="J65" s="390"/>
      <c r="K65" s="393"/>
      <c r="L65" s="387"/>
      <c r="S65" s="344"/>
      <c r="T65" s="344"/>
      <c r="U65" s="344"/>
      <c r="V65" s="344"/>
    </row>
    <row r="66" spans="1:22" ht="15.75" customHeight="1" thickBot="1" x14ac:dyDescent="0.3">
      <c r="A66" s="168" t="s">
        <v>70</v>
      </c>
      <c r="B66" s="418" t="s">
        <v>28</v>
      </c>
      <c r="C66" s="418" t="s">
        <v>29</v>
      </c>
      <c r="D66" s="418" t="s">
        <v>30</v>
      </c>
      <c r="E66" s="418" t="s">
        <v>31</v>
      </c>
      <c r="F66" s="418" t="s">
        <v>32</v>
      </c>
      <c r="G66" s="418" t="s">
        <v>33</v>
      </c>
      <c r="H66" s="418" t="s">
        <v>68</v>
      </c>
      <c r="I66" s="419" t="s">
        <v>35</v>
      </c>
      <c r="J66" s="390"/>
      <c r="K66" s="386"/>
      <c r="L66" s="386"/>
      <c r="M66" s="932"/>
      <c r="N66" s="932"/>
      <c r="O66" s="932"/>
      <c r="P66" s="932"/>
      <c r="Q66" s="386"/>
      <c r="R66" s="386"/>
      <c r="S66" s="344"/>
      <c r="T66" s="344" t="s">
        <v>267</v>
      </c>
      <c r="U66" s="344"/>
      <c r="V66" s="344"/>
    </row>
    <row r="67" spans="1:22" s="382" customFormat="1" ht="15.75" thickTop="1" x14ac:dyDescent="0.25">
      <c r="A67" s="372" t="s">
        <v>71</v>
      </c>
      <c r="B67" s="374">
        <f t="shared" ref="B67:I74" si="4">B34/(B$62*B$63)</f>
        <v>21.702127659574469</v>
      </c>
      <c r="C67" s="374">
        <f t="shared" si="4"/>
        <v>0</v>
      </c>
      <c r="D67" s="374">
        <f t="shared" si="4"/>
        <v>0</v>
      </c>
      <c r="E67" s="374">
        <f t="shared" si="4"/>
        <v>0</v>
      </c>
      <c r="F67" s="374">
        <f t="shared" si="4"/>
        <v>227.87234042553192</v>
      </c>
      <c r="G67" s="374">
        <f t="shared" si="4"/>
        <v>0</v>
      </c>
      <c r="H67" s="374">
        <f t="shared" si="4"/>
        <v>206.17021276595747</v>
      </c>
      <c r="I67" s="375">
        <f t="shared" si="4"/>
        <v>0</v>
      </c>
      <c r="J67" s="204"/>
      <c r="K67" s="393"/>
      <c r="L67" s="386"/>
      <c r="M67" s="932"/>
      <c r="N67" s="932"/>
      <c r="O67" s="932"/>
      <c r="P67" s="932"/>
      <c r="Q67" s="386"/>
      <c r="R67" s="386"/>
      <c r="S67" s="344"/>
      <c r="T67" s="466" t="s">
        <v>48</v>
      </c>
      <c r="U67" s="345">
        <f>SUM(B67:I67)</f>
        <v>455.74468085106389</v>
      </c>
      <c r="V67" s="344"/>
    </row>
    <row r="68" spans="1:22" s="382" customFormat="1" x14ac:dyDescent="0.25">
      <c r="A68" s="372" t="s">
        <v>72</v>
      </c>
      <c r="B68" s="376">
        <f t="shared" si="4"/>
        <v>0</v>
      </c>
      <c r="C68" s="376">
        <f t="shared" si="4"/>
        <v>0</v>
      </c>
      <c r="D68" s="376">
        <f t="shared" si="4"/>
        <v>0</v>
      </c>
      <c r="E68" s="376">
        <f t="shared" si="4"/>
        <v>0</v>
      </c>
      <c r="F68" s="376">
        <f t="shared" si="4"/>
        <v>0</v>
      </c>
      <c r="G68" s="376">
        <f t="shared" si="4"/>
        <v>0</v>
      </c>
      <c r="H68" s="376">
        <f t="shared" si="4"/>
        <v>0</v>
      </c>
      <c r="I68" s="377">
        <f t="shared" si="4"/>
        <v>0</v>
      </c>
      <c r="J68" s="204"/>
      <c r="K68" s="394"/>
      <c r="L68" s="386"/>
      <c r="M68" s="386"/>
      <c r="N68" s="386"/>
      <c r="O68" s="384"/>
      <c r="P68" s="472"/>
      <c r="Q68" s="466"/>
      <c r="R68" s="468"/>
      <c r="S68" s="344"/>
      <c r="T68" s="466" t="s">
        <v>49</v>
      </c>
      <c r="U68" s="345">
        <f t="shared" ref="U68:U74" si="5">SUM(B68:I68)</f>
        <v>0</v>
      </c>
      <c r="V68" s="344"/>
    </row>
    <row r="69" spans="1:22" s="382" customFormat="1" x14ac:dyDescent="0.25">
      <c r="A69" s="372" t="s">
        <v>73</v>
      </c>
      <c r="B69" s="376">
        <f t="shared" si="4"/>
        <v>189.89361702127661</v>
      </c>
      <c r="C69" s="376">
        <f t="shared" si="4"/>
        <v>0</v>
      </c>
      <c r="D69" s="376">
        <f t="shared" si="4"/>
        <v>21.702127659574469</v>
      </c>
      <c r="E69" s="376">
        <f t="shared" si="4"/>
        <v>0</v>
      </c>
      <c r="F69" s="376">
        <f t="shared" si="4"/>
        <v>54.255319148936174</v>
      </c>
      <c r="G69" s="376">
        <f t="shared" si="4"/>
        <v>0</v>
      </c>
      <c r="H69" s="376">
        <f t="shared" si="4"/>
        <v>303.82978723404256</v>
      </c>
      <c r="I69" s="377">
        <f t="shared" si="4"/>
        <v>0</v>
      </c>
      <c r="J69" s="204"/>
      <c r="K69" s="395"/>
      <c r="L69" s="386"/>
      <c r="M69" s="432"/>
      <c r="N69" s="473"/>
      <c r="O69" s="354"/>
      <c r="P69" s="474"/>
      <c r="Q69" s="467"/>
      <c r="R69" s="475"/>
      <c r="S69" s="344"/>
      <c r="T69" s="466" t="s">
        <v>50</v>
      </c>
      <c r="U69" s="345">
        <f t="shared" si="5"/>
        <v>569.68085106382978</v>
      </c>
      <c r="V69" s="344"/>
    </row>
    <row r="70" spans="1:22" s="382" customFormat="1" x14ac:dyDescent="0.25">
      <c r="A70" s="372" t="s">
        <v>74</v>
      </c>
      <c r="B70" s="376">
        <f t="shared" si="4"/>
        <v>0</v>
      </c>
      <c r="C70" s="376">
        <f t="shared" si="4"/>
        <v>0</v>
      </c>
      <c r="D70" s="376">
        <f t="shared" si="4"/>
        <v>0</v>
      </c>
      <c r="E70" s="376">
        <f t="shared" si="4"/>
        <v>0</v>
      </c>
      <c r="F70" s="376">
        <f t="shared" si="4"/>
        <v>0</v>
      </c>
      <c r="G70" s="376">
        <f t="shared" si="4"/>
        <v>0</v>
      </c>
      <c r="H70" s="376">
        <f t="shared" si="4"/>
        <v>0</v>
      </c>
      <c r="I70" s="377">
        <f t="shared" si="4"/>
        <v>0</v>
      </c>
      <c r="J70" s="204"/>
      <c r="K70" s="387"/>
      <c r="M70" s="401"/>
      <c r="N70" s="357"/>
      <c r="O70" s="354"/>
      <c r="P70" s="474"/>
      <c r="Q70" s="468"/>
      <c r="R70" s="468"/>
      <c r="S70" s="344"/>
      <c r="T70" s="466" t="s">
        <v>51</v>
      </c>
      <c r="U70" s="345">
        <f t="shared" si="5"/>
        <v>0</v>
      </c>
      <c r="V70" s="344"/>
    </row>
    <row r="71" spans="1:22" s="382" customFormat="1" ht="15" customHeight="1" x14ac:dyDescent="0.25">
      <c r="A71" s="372" t="s">
        <v>75</v>
      </c>
      <c r="B71" s="376">
        <f t="shared" si="4"/>
        <v>103.08510638297874</v>
      </c>
      <c r="C71" s="376">
        <f t="shared" si="4"/>
        <v>0</v>
      </c>
      <c r="D71" s="376">
        <f t="shared" si="4"/>
        <v>119.36170212765958</v>
      </c>
      <c r="E71" s="376">
        <f t="shared" si="4"/>
        <v>0</v>
      </c>
      <c r="F71" s="376">
        <f t="shared" si="4"/>
        <v>32.553191489361701</v>
      </c>
      <c r="G71" s="376">
        <f t="shared" si="4"/>
        <v>0</v>
      </c>
      <c r="H71" s="376">
        <f t="shared" si="4"/>
        <v>92.2340425531915</v>
      </c>
      <c r="I71" s="377">
        <f t="shared" si="4"/>
        <v>0</v>
      </c>
      <c r="J71" s="204"/>
      <c r="K71" s="394"/>
      <c r="M71" s="476"/>
      <c r="N71" s="477"/>
      <c r="O71" s="354"/>
      <c r="P71" s="469"/>
      <c r="Q71" s="467"/>
      <c r="R71" s="478"/>
      <c r="S71" s="344"/>
      <c r="T71" s="466" t="s">
        <v>52</v>
      </c>
      <c r="U71" s="345">
        <f t="shared" si="5"/>
        <v>347.23404255319156</v>
      </c>
      <c r="V71" s="344"/>
    </row>
    <row r="72" spans="1:22" s="382" customFormat="1" x14ac:dyDescent="0.25">
      <c r="A72" s="372" t="s">
        <v>76</v>
      </c>
      <c r="B72" s="376">
        <f t="shared" si="4"/>
        <v>0</v>
      </c>
      <c r="C72" s="376">
        <f t="shared" si="4"/>
        <v>0</v>
      </c>
      <c r="D72" s="376">
        <f t="shared" si="4"/>
        <v>0</v>
      </c>
      <c r="E72" s="376">
        <f t="shared" si="4"/>
        <v>0</v>
      </c>
      <c r="F72" s="376">
        <f t="shared" si="4"/>
        <v>0</v>
      </c>
      <c r="G72" s="376">
        <f t="shared" si="4"/>
        <v>0</v>
      </c>
      <c r="H72" s="376">
        <f t="shared" si="4"/>
        <v>0</v>
      </c>
      <c r="I72" s="377">
        <f t="shared" si="4"/>
        <v>0</v>
      </c>
      <c r="J72" s="204"/>
      <c r="K72" s="386"/>
      <c r="M72" s="476"/>
      <c r="N72" s="389"/>
      <c r="O72" s="354"/>
      <c r="P72" s="474"/>
      <c r="Q72" s="467"/>
      <c r="R72" s="478"/>
      <c r="S72" s="344"/>
      <c r="T72" s="466" t="s">
        <v>53</v>
      </c>
      <c r="U72" s="345">
        <f t="shared" si="5"/>
        <v>0</v>
      </c>
      <c r="V72" s="344"/>
    </row>
    <row r="73" spans="1:22" s="382" customFormat="1" x14ac:dyDescent="0.25">
      <c r="A73" s="372" t="s">
        <v>77</v>
      </c>
      <c r="B73" s="376">
        <f t="shared" si="4"/>
        <v>0</v>
      </c>
      <c r="C73" s="376">
        <f t="shared" si="4"/>
        <v>0</v>
      </c>
      <c r="D73" s="376">
        <f t="shared" si="4"/>
        <v>428.61702127659578</v>
      </c>
      <c r="E73" s="376">
        <f t="shared" si="4"/>
        <v>0</v>
      </c>
      <c r="F73" s="376">
        <f t="shared" si="4"/>
        <v>113.93617021276596</v>
      </c>
      <c r="G73" s="376">
        <f t="shared" si="4"/>
        <v>0</v>
      </c>
      <c r="H73" s="376">
        <f t="shared" si="4"/>
        <v>54.255319148936174</v>
      </c>
      <c r="I73" s="377">
        <f t="shared" si="4"/>
        <v>0</v>
      </c>
      <c r="J73" s="204"/>
      <c r="M73" s="476"/>
      <c r="N73" s="389"/>
      <c r="O73" s="354"/>
      <c r="P73" s="474"/>
      <c r="Q73" s="467"/>
      <c r="R73" s="479"/>
      <c r="S73" s="344"/>
      <c r="T73" s="466" t="s">
        <v>54</v>
      </c>
      <c r="U73" s="345">
        <f t="shared" si="5"/>
        <v>596.808510638298</v>
      </c>
      <c r="V73" s="344"/>
    </row>
    <row r="74" spans="1:22" s="382" customFormat="1" x14ac:dyDescent="0.25">
      <c r="A74" s="372" t="s">
        <v>78</v>
      </c>
      <c r="B74" s="376">
        <f t="shared" si="4"/>
        <v>0</v>
      </c>
      <c r="C74" s="376">
        <f t="shared" si="4"/>
        <v>0</v>
      </c>
      <c r="D74" s="376">
        <f t="shared" si="4"/>
        <v>0</v>
      </c>
      <c r="E74" s="376">
        <f t="shared" si="4"/>
        <v>0</v>
      </c>
      <c r="F74" s="376">
        <f t="shared" si="4"/>
        <v>0</v>
      </c>
      <c r="G74" s="376">
        <f t="shared" si="4"/>
        <v>0</v>
      </c>
      <c r="H74" s="376">
        <f t="shared" si="4"/>
        <v>0</v>
      </c>
      <c r="I74" s="377">
        <f t="shared" si="4"/>
        <v>0</v>
      </c>
      <c r="J74" s="204"/>
      <c r="M74" s="476"/>
      <c r="N74" s="473"/>
      <c r="O74" s="354"/>
      <c r="P74" s="474"/>
      <c r="Q74" s="467"/>
      <c r="R74" s="468"/>
      <c r="S74" s="344"/>
      <c r="T74" s="466" t="s">
        <v>55</v>
      </c>
      <c r="U74" s="345">
        <f t="shared" si="5"/>
        <v>0</v>
      </c>
      <c r="V74" s="344"/>
    </row>
    <row r="75" spans="1:22" s="382" customFormat="1" x14ac:dyDescent="0.25">
      <c r="A75" s="372" t="s">
        <v>79</v>
      </c>
      <c r="B75" s="376">
        <f t="shared" ref="B75:I75" si="6">SUM(B67:B74)</f>
        <v>314.68085106382983</v>
      </c>
      <c r="C75" s="376">
        <f t="shared" si="6"/>
        <v>0</v>
      </c>
      <c r="D75" s="376">
        <f t="shared" si="6"/>
        <v>569.68085106382978</v>
      </c>
      <c r="E75" s="376">
        <f t="shared" si="6"/>
        <v>0</v>
      </c>
      <c r="F75" s="376">
        <f t="shared" si="6"/>
        <v>428.61702127659578</v>
      </c>
      <c r="G75" s="376">
        <f t="shared" si="6"/>
        <v>0</v>
      </c>
      <c r="H75" s="376">
        <f t="shared" si="6"/>
        <v>656.48936170212778</v>
      </c>
      <c r="I75" s="377">
        <f t="shared" si="6"/>
        <v>0</v>
      </c>
      <c r="J75" s="204"/>
      <c r="M75" s="425"/>
      <c r="N75" s="348"/>
      <c r="O75" s="349"/>
      <c r="S75" s="344"/>
      <c r="T75" s="344"/>
      <c r="U75" s="345"/>
      <c r="V75" s="344"/>
    </row>
    <row r="76" spans="1:22" s="382" customFormat="1" x14ac:dyDescent="0.25">
      <c r="A76" s="372" t="s">
        <v>80</v>
      </c>
      <c r="B76" s="376">
        <f>IF(SUM(B67:B75)=0,0,SUM(C68:C74)+SUM(D69:D74)+SUM(E70:E74)+SUM(F71:F74)+SUM(G72:G74)+SUM(H73:H74)+SUM(I74))</f>
        <v>770.42553191489367</v>
      </c>
      <c r="C76" s="376">
        <f>IF(SUM(C67:C75)=0,0,SUM(B67)+D67+SUM(D69:D74)+SUM(E70:E74)+E67+F67+SUM(F71:F74)+SUM(G72:G74)+G67+H67+SUM(H73:H74)+I67+I74)</f>
        <v>0</v>
      </c>
      <c r="D76" s="376">
        <f>IF(SUM(D67:D75)=0,0, SUM(B67:B68)+SUM(C68)+SUM(E67:E68)+SUM(E70:E74)+SUM(F67:F68)+SUM(F71:F74)+SUM(G67:G68)+SUM(G72:G74)+SUM(H67:H68)+SUM(H73:H74)+SUM(I67:I68)+I74)</f>
        <v>656.48936170212778</v>
      </c>
      <c r="E76" s="376">
        <f>IF(SUM(E67:E75)=0,0,SUM(B67:B69)+SUM(C68:C69)+SUM(D69)+SUM(F67:F69)+SUM(F71:F74)+SUM(G67:G69)+SUM(G72:G74)+SUM(H67:H69)+SUM(H73:H74)+SUM(I67:I69)+I74)</f>
        <v>0</v>
      </c>
      <c r="F76" s="376">
        <f>IF(SUM(F67:F75)=0,0,SUM(B67:B70)+SUM(C68:C70)+SUM(D69:D70)+SUM(E70)+SUM(G67:G70)+SUM(G72:G74)+SUM(H67:H70)+SUM(H73:H74)+SUM(I67:I70)+I74)</f>
        <v>797.55319148936178</v>
      </c>
      <c r="G76" s="376">
        <f>IF(SUM(G67:G75)=0,0,SUM(B67:B71)+SUM(C68:C71)+SUM(D69:D71)+SUM(E70:E71)+SUM(F71)+SUM(H67:H71)+SUM(H73:H74)+SUM(I67:I71)+I74)</f>
        <v>0</v>
      </c>
      <c r="H76" s="376">
        <f>IF(SUM(H67:H75)=0,0,SUM(B67:B72)+SUM(C68:C72)+SUM(D69:D72)+SUM(E70:E72)+SUM(F71:F72)+G72+SUM(I67:I72)+I74)</f>
        <v>488.29787234042561</v>
      </c>
      <c r="I76" s="377">
        <f>IF(SUM(I67:I75)=0,0,SUM(B67:B73)+SUM(C68:C73)+SUM(D69:D73)+SUM(E70:E73)+SUM(F71:F73)+SUM(G72:G73)+H73)</f>
        <v>0</v>
      </c>
      <c r="J76" s="204"/>
      <c r="S76" s="447"/>
      <c r="T76" s="447"/>
      <c r="U76" s="448"/>
      <c r="V76" s="447"/>
    </row>
    <row r="77" spans="1:22" s="382" customFormat="1" x14ac:dyDescent="0.25">
      <c r="A77" s="363"/>
      <c r="B77" s="363"/>
      <c r="C77" s="363"/>
      <c r="D77" s="363"/>
      <c r="E77" s="363"/>
      <c r="F77" s="363"/>
      <c r="G77" s="363"/>
      <c r="H77" s="363"/>
      <c r="I77" s="363"/>
      <c r="S77" s="447"/>
      <c r="T77" s="447"/>
      <c r="U77" s="447"/>
      <c r="V77" s="447"/>
    </row>
    <row r="78" spans="1:22" s="382" customFormat="1" ht="15.75" thickBot="1" x14ac:dyDescent="0.3">
      <c r="A78" s="168" t="s">
        <v>94</v>
      </c>
      <c r="B78" s="169" t="s">
        <v>262</v>
      </c>
      <c r="C78" s="418"/>
      <c r="D78" s="418"/>
      <c r="E78" s="418"/>
      <c r="F78" s="418"/>
      <c r="G78" s="418"/>
      <c r="H78" s="418"/>
      <c r="I78" s="419"/>
    </row>
    <row r="79" spans="1:22" s="382" customFormat="1" ht="15.75" thickTop="1" x14ac:dyDescent="0.25">
      <c r="A79" s="144" t="s">
        <v>130</v>
      </c>
      <c r="B79" s="935" t="s">
        <v>261</v>
      </c>
      <c r="C79" s="936"/>
      <c r="D79" s="936"/>
      <c r="E79" s="363"/>
      <c r="F79" s="363"/>
      <c r="G79" s="363"/>
      <c r="H79" s="363"/>
      <c r="I79" s="363"/>
    </row>
    <row r="80" spans="1:22" s="382" customFormat="1" x14ac:dyDescent="0.25">
      <c r="A80" s="372"/>
      <c r="B80" s="380"/>
      <c r="C80" s="380"/>
      <c r="D80" s="380"/>
      <c r="E80" s="380"/>
      <c r="F80" s="380"/>
      <c r="G80" s="380"/>
      <c r="H80" s="380"/>
      <c r="I80" s="380"/>
    </row>
    <row r="81" spans="1:26" s="382" customFormat="1" x14ac:dyDescent="0.25">
      <c r="A81" s="363"/>
      <c r="B81" s="363"/>
      <c r="C81" s="363"/>
      <c r="D81" s="363"/>
      <c r="E81" s="363"/>
      <c r="F81" s="363"/>
      <c r="G81" s="363"/>
      <c r="H81" s="363"/>
      <c r="I81" s="364"/>
    </row>
    <row r="82" spans="1:26" s="382" customFormat="1" ht="15.75" thickBot="1" x14ac:dyDescent="0.3">
      <c r="A82" s="1084" t="s">
        <v>202</v>
      </c>
      <c r="B82" s="1085"/>
      <c r="C82" s="1085"/>
      <c r="D82" s="1085"/>
      <c r="E82" s="1085"/>
      <c r="F82" s="1085"/>
      <c r="G82" s="1085"/>
      <c r="H82" s="1085"/>
      <c r="I82" s="1085"/>
      <c r="J82" s="420"/>
    </row>
    <row r="83" spans="1:26" ht="15.75" thickTop="1" x14ac:dyDescent="0.25">
      <c r="A83" s="240" t="s">
        <v>273</v>
      </c>
      <c r="B83" s="170" t="s">
        <v>28</v>
      </c>
      <c r="C83" s="170" t="s">
        <v>29</v>
      </c>
      <c r="D83" s="170" t="s">
        <v>30</v>
      </c>
      <c r="E83" s="170" t="s">
        <v>31</v>
      </c>
      <c r="F83" s="170" t="s">
        <v>32</v>
      </c>
      <c r="G83" s="170" t="s">
        <v>33</v>
      </c>
      <c r="H83" s="170" t="s">
        <v>68</v>
      </c>
      <c r="I83" s="171" t="s">
        <v>35</v>
      </c>
    </row>
    <row r="84" spans="1:26" x14ac:dyDescent="0.25">
      <c r="A84" s="501" t="s">
        <v>276</v>
      </c>
      <c r="B84" s="374">
        <f t="shared" ref="B84:I84" si="7">IF((COUNTBLANK(B34:B41)=8),"NA",(1130*EXP(-0.001*B76))*B63*B64)</f>
        <v>512.72762179292829</v>
      </c>
      <c r="C84" s="374" t="str">
        <f t="shared" si="7"/>
        <v>NA</v>
      </c>
      <c r="D84" s="374">
        <f t="shared" si="7"/>
        <v>574.60389359638816</v>
      </c>
      <c r="E84" s="374" t="str">
        <f t="shared" si="7"/>
        <v>NA</v>
      </c>
      <c r="F84" s="374">
        <f t="shared" si="7"/>
        <v>495.58730002748672</v>
      </c>
      <c r="G84" s="374" t="str">
        <f t="shared" si="7"/>
        <v>NA</v>
      </c>
      <c r="H84" s="374">
        <f t="shared" si="7"/>
        <v>679.85015396434562</v>
      </c>
      <c r="I84" s="375" t="str">
        <f t="shared" si="7"/>
        <v>NA</v>
      </c>
    </row>
    <row r="85" spans="1:26" ht="14.25" customHeight="1" x14ac:dyDescent="0.25">
      <c r="A85" s="501" t="s">
        <v>272</v>
      </c>
      <c r="B85" s="374">
        <f>IF(B84="NA","NA",B75*B63)</f>
        <v>308.51063829787239</v>
      </c>
      <c r="C85" s="374" t="str">
        <f t="shared" ref="C85:I85" si="8">IF(C84="NA","NA",C75*C63)</f>
        <v>NA</v>
      </c>
      <c r="D85" s="374">
        <f>IF(D84="NA","NA",D75*D63)</f>
        <v>558.51063829787233</v>
      </c>
      <c r="E85" s="374" t="str">
        <f t="shared" si="8"/>
        <v>NA</v>
      </c>
      <c r="F85" s="374">
        <f t="shared" si="8"/>
        <v>420.21276595744683</v>
      </c>
      <c r="G85" s="374" t="str">
        <f t="shared" si="8"/>
        <v>NA</v>
      </c>
      <c r="H85" s="374">
        <f t="shared" si="8"/>
        <v>643.61702127659589</v>
      </c>
      <c r="I85" s="375" t="str">
        <f t="shared" si="8"/>
        <v>NA</v>
      </c>
    </row>
    <row r="86" spans="1:26" x14ac:dyDescent="0.25">
      <c r="A86" s="433" t="s">
        <v>203</v>
      </c>
      <c r="B86" s="180">
        <f t="shared" ref="B86:C86" si="9">B85/B84</f>
        <v>0.60170473597474416</v>
      </c>
      <c r="C86" s="180" t="e">
        <f t="shared" si="9"/>
        <v>#VALUE!</v>
      </c>
      <c r="D86" s="180">
        <f>D85/D84</f>
        <v>0.97199243604530805</v>
      </c>
      <c r="E86" s="180" t="e">
        <f t="shared" ref="E86:I86" si="10">E85/E84</f>
        <v>#VALUE!</v>
      </c>
      <c r="F86" s="180">
        <f t="shared" si="10"/>
        <v>0.84790866500037554</v>
      </c>
      <c r="G86" s="180" t="e">
        <f t="shared" si="10"/>
        <v>#VALUE!</v>
      </c>
      <c r="H86" s="180">
        <f t="shared" si="10"/>
        <v>0.94670423699036188</v>
      </c>
      <c r="I86" s="182" t="e">
        <f t="shared" si="10"/>
        <v>#VALUE!</v>
      </c>
    </row>
    <row r="87" spans="1:26" x14ac:dyDescent="0.25">
      <c r="A87" s="433" t="s">
        <v>204</v>
      </c>
      <c r="B87" s="235">
        <f>3600/B84+900*0.25*(B86-1+SQRT((B86-1)^2+((3600/B84)*B86)/(450*0.25)))+(5*(MIN(B86,1)))</f>
        <v>20.07395983582115</v>
      </c>
      <c r="C87" s="235" t="e">
        <f t="shared" ref="C87:I87" si="11">3600/C84+900*0.25*(C86-1+SQRT((C86-1)^2+((3600/C84)*C86)/(450*0.25)))+(5*(MIN(C86,1)))</f>
        <v>#VALUE!</v>
      </c>
      <c r="D87" s="235">
        <f t="shared" si="11"/>
        <v>57.549931314503077</v>
      </c>
      <c r="E87" s="235" t="e">
        <f t="shared" si="11"/>
        <v>#VALUE!</v>
      </c>
      <c r="F87" s="235">
        <f t="shared" si="11"/>
        <v>40.074274353062421</v>
      </c>
      <c r="G87" s="235" t="e">
        <f t="shared" si="11"/>
        <v>#VALUE!</v>
      </c>
      <c r="H87" s="235">
        <f t="shared" si="11"/>
        <v>47.023766615620048</v>
      </c>
      <c r="I87" s="183" t="e">
        <f t="shared" si="11"/>
        <v>#VALUE!</v>
      </c>
      <c r="O87" s="396"/>
      <c r="P87" s="396"/>
      <c r="Q87" s="396"/>
      <c r="R87" s="396"/>
      <c r="S87" s="396"/>
      <c r="T87" s="396"/>
      <c r="U87" s="396"/>
      <c r="V87" s="398"/>
    </row>
    <row r="88" spans="1:26" x14ac:dyDescent="0.25">
      <c r="A88" s="501" t="s">
        <v>85</v>
      </c>
      <c r="B88" s="378" t="str">
        <f t="shared" ref="B88:I88" si="12">VLOOKUP(B87,$U105:$V110,2,TRUE)</f>
        <v>C</v>
      </c>
      <c r="C88" s="378" t="e">
        <f t="shared" si="12"/>
        <v>#VALUE!</v>
      </c>
      <c r="D88" s="378" t="str">
        <f t="shared" si="12"/>
        <v>F</v>
      </c>
      <c r="E88" s="378" t="e">
        <f t="shared" si="12"/>
        <v>#VALUE!</v>
      </c>
      <c r="F88" s="378" t="str">
        <f t="shared" si="12"/>
        <v>E</v>
      </c>
      <c r="G88" s="378" t="e">
        <f t="shared" si="12"/>
        <v>#VALUE!</v>
      </c>
      <c r="H88" s="378" t="str">
        <f t="shared" si="12"/>
        <v>E</v>
      </c>
      <c r="I88" s="379" t="e">
        <f t="shared" si="12"/>
        <v>#VALUE!</v>
      </c>
      <c r="O88" s="396"/>
      <c r="P88" s="396"/>
      <c r="Q88" s="396"/>
      <c r="R88" s="396"/>
      <c r="S88" s="396"/>
      <c r="T88" s="396"/>
      <c r="U88" s="396"/>
      <c r="V88" s="397"/>
    </row>
    <row r="89" spans="1:26" hidden="1" x14ac:dyDescent="0.25">
      <c r="A89" s="501" t="s">
        <v>180</v>
      </c>
      <c r="B89" s="378" t="str">
        <f t="shared" ref="B89:I89" si="13">VLOOKUP(B87,$U112:$V117,2,TRUE)</f>
        <v>C</v>
      </c>
      <c r="C89" s="378" t="e">
        <f t="shared" si="13"/>
        <v>#VALUE!</v>
      </c>
      <c r="D89" s="378" t="str">
        <f t="shared" si="13"/>
        <v>E</v>
      </c>
      <c r="E89" s="378" t="e">
        <f t="shared" si="13"/>
        <v>#VALUE!</v>
      </c>
      <c r="F89" s="378" t="str">
        <f t="shared" si="13"/>
        <v>D</v>
      </c>
      <c r="G89" s="378" t="e">
        <f t="shared" si="13"/>
        <v>#VALUE!</v>
      </c>
      <c r="H89" s="378" t="str">
        <f t="shared" si="13"/>
        <v>D</v>
      </c>
      <c r="I89" s="378" t="e">
        <f t="shared" si="13"/>
        <v>#VALUE!</v>
      </c>
      <c r="J89" s="420"/>
      <c r="O89" s="396"/>
      <c r="P89" s="396"/>
      <c r="Q89" s="396"/>
      <c r="R89" s="396"/>
      <c r="S89" s="396"/>
      <c r="T89" s="396"/>
      <c r="U89" s="396"/>
      <c r="V89" s="397"/>
    </row>
    <row r="90" spans="1:26" s="223" customFormat="1" ht="15" hidden="1" customHeight="1" x14ac:dyDescent="0.25">
      <c r="A90" s="229" t="s">
        <v>212</v>
      </c>
      <c r="B90" s="226" t="str">
        <f>""&amp;B88&amp;" / "&amp;B89&amp;"*"</f>
        <v>C / C*</v>
      </c>
      <c r="C90" s="226" t="e">
        <f>""&amp;C88&amp;" / "&amp;C89&amp;"*"</f>
        <v>#VALUE!</v>
      </c>
      <c r="D90" s="226" t="str">
        <f t="shared" ref="D90:I90" si="14">""&amp;D88&amp;" / "&amp;D89&amp;"*"</f>
        <v>F / E*</v>
      </c>
      <c r="E90" s="226" t="e">
        <f t="shared" si="14"/>
        <v>#VALUE!</v>
      </c>
      <c r="F90" s="226" t="str">
        <f t="shared" si="14"/>
        <v>E / D*</v>
      </c>
      <c r="G90" s="226" t="e">
        <f t="shared" si="14"/>
        <v>#VALUE!</v>
      </c>
      <c r="H90" s="226" t="str">
        <f t="shared" si="14"/>
        <v>E / D*</v>
      </c>
      <c r="I90" s="226" t="e">
        <f t="shared" si="14"/>
        <v>#VALUE!</v>
      </c>
      <c r="J90" s="219"/>
      <c r="K90" s="220"/>
      <c r="L90" s="220"/>
      <c r="M90" s="220"/>
      <c r="N90" s="220"/>
      <c r="O90" s="221"/>
      <c r="P90" s="221"/>
      <c r="Q90" s="221"/>
      <c r="R90" s="221"/>
      <c r="S90" s="221"/>
      <c r="T90" s="221"/>
      <c r="U90" s="221"/>
      <c r="V90" s="222"/>
      <c r="W90" s="220"/>
      <c r="X90" s="220"/>
      <c r="Y90" s="220"/>
      <c r="Z90" s="220"/>
    </row>
    <row r="91" spans="1:26" hidden="1" x14ac:dyDescent="0.25">
      <c r="A91" s="174" t="s">
        <v>10</v>
      </c>
      <c r="B91" s="399">
        <f>225*(B86-1+SQRT((1-B86)^2+((3600/B84)*B86/37.5)))*(B84/3600)</f>
        <v>3.9277533605463799</v>
      </c>
      <c r="C91" s="399" t="e">
        <f t="shared" ref="C91:I91" si="15">225*(C86-1+SQRT((1-C86)^2+((3600/C84)*C86/37.5)))*(C84/3600)</f>
        <v>#VALUE!</v>
      </c>
      <c r="D91" s="399">
        <f t="shared" si="15"/>
        <v>13.501176067345114</v>
      </c>
      <c r="E91" s="399" t="e">
        <f t="shared" si="15"/>
        <v>#VALUE!</v>
      </c>
      <c r="F91" s="399">
        <f t="shared" si="15"/>
        <v>8.6970163292764031</v>
      </c>
      <c r="G91" s="399" t="e">
        <f t="shared" si="15"/>
        <v>#VALUE!</v>
      </c>
      <c r="H91" s="399">
        <f t="shared" si="15"/>
        <v>13.435259265177457</v>
      </c>
      <c r="I91" s="423" t="e">
        <f t="shared" si="15"/>
        <v>#VALUE!</v>
      </c>
      <c r="O91" s="396"/>
      <c r="P91" s="396"/>
      <c r="Q91" s="396"/>
      <c r="R91" s="396"/>
      <c r="S91" s="396"/>
      <c r="T91" s="396"/>
      <c r="U91" s="396"/>
      <c r="V91" s="397"/>
    </row>
    <row r="92" spans="1:26" x14ac:dyDescent="0.25">
      <c r="A92" s="224" t="s">
        <v>138</v>
      </c>
      <c r="B92" s="235">
        <f t="shared" ref="B92:I92" si="16">(B91*($O$62/B63))</f>
        <v>100.15771069393269</v>
      </c>
      <c r="C92" s="235" t="e">
        <f t="shared" si="16"/>
        <v>#VALUE!</v>
      </c>
      <c r="D92" s="235">
        <f t="shared" si="16"/>
        <v>344.2799897173004</v>
      </c>
      <c r="E92" s="235" t="e">
        <f t="shared" si="16"/>
        <v>#VALUE!</v>
      </c>
      <c r="F92" s="235">
        <f t="shared" si="16"/>
        <v>221.77391639654829</v>
      </c>
      <c r="G92" s="235" t="e">
        <f t="shared" si="16"/>
        <v>#VALUE!</v>
      </c>
      <c r="H92" s="235">
        <f t="shared" si="16"/>
        <v>342.59911126202513</v>
      </c>
      <c r="I92" s="183" t="e">
        <f t="shared" si="16"/>
        <v>#VALUE!</v>
      </c>
      <c r="O92" s="396"/>
      <c r="P92" s="396"/>
      <c r="Q92" s="396"/>
      <c r="R92" s="396"/>
      <c r="S92" s="396"/>
      <c r="T92" s="396"/>
      <c r="U92" s="396"/>
      <c r="V92" s="397"/>
    </row>
    <row r="93" spans="1:26" x14ac:dyDescent="0.25">
      <c r="A93" s="241"/>
      <c r="B93" s="217"/>
      <c r="C93" s="217"/>
      <c r="D93" s="217"/>
      <c r="E93" s="217"/>
      <c r="F93" s="217"/>
      <c r="G93" s="217"/>
      <c r="H93" s="217"/>
      <c r="I93" s="218"/>
      <c r="O93" s="396"/>
      <c r="P93" s="396"/>
      <c r="Q93" s="396"/>
      <c r="R93" s="396"/>
      <c r="S93" s="396"/>
      <c r="T93" s="396"/>
      <c r="U93" s="396"/>
      <c r="V93" s="397"/>
    </row>
    <row r="94" spans="1:26" x14ac:dyDescent="0.25">
      <c r="A94" s="242" t="s">
        <v>263</v>
      </c>
      <c r="B94" s="167" t="s">
        <v>28</v>
      </c>
      <c r="C94" s="167" t="s">
        <v>29</v>
      </c>
      <c r="D94" s="167" t="s">
        <v>30</v>
      </c>
      <c r="E94" s="167" t="s">
        <v>31</v>
      </c>
      <c r="F94" s="167" t="s">
        <v>32</v>
      </c>
      <c r="G94" s="167" t="s">
        <v>33</v>
      </c>
      <c r="H94" s="167" t="s">
        <v>68</v>
      </c>
      <c r="I94" s="172" t="s">
        <v>35</v>
      </c>
      <c r="J94" s="420"/>
      <c r="O94" s="396"/>
      <c r="P94" s="396"/>
      <c r="Q94" s="396"/>
      <c r="R94" s="396"/>
      <c r="S94" s="396"/>
      <c r="T94" s="396"/>
      <c r="U94" s="396"/>
      <c r="V94" s="397"/>
    </row>
    <row r="95" spans="1:26" x14ac:dyDescent="0.25">
      <c r="A95" s="501" t="s">
        <v>82</v>
      </c>
      <c r="B95" s="374">
        <f t="shared" ref="B95:I95" si="17">(IF((COUNTBLANK(B34:B41)=8),"NA",IF($B$79="Urban Compact",1218-0.74*B$76,IF($B$79="Standard Single Lane",1212-0.5447*B$76))))</f>
        <v>792.34921276595742</v>
      </c>
      <c r="C95" s="374" t="str">
        <f t="shared" si="17"/>
        <v>NA</v>
      </c>
      <c r="D95" s="374">
        <f t="shared" si="17"/>
        <v>854.41024468085106</v>
      </c>
      <c r="E95" s="374" t="str">
        <f t="shared" si="17"/>
        <v>NA</v>
      </c>
      <c r="F95" s="374">
        <f t="shared" si="17"/>
        <v>777.5727765957447</v>
      </c>
      <c r="G95" s="374" t="str">
        <f t="shared" si="17"/>
        <v>NA</v>
      </c>
      <c r="H95" s="374">
        <f t="shared" si="17"/>
        <v>946.02414893617015</v>
      </c>
      <c r="I95" s="374" t="str">
        <f t="shared" si="17"/>
        <v>NA</v>
      </c>
      <c r="J95" s="420"/>
      <c r="O95" s="396"/>
      <c r="P95" s="396"/>
      <c r="Q95" s="396"/>
      <c r="R95" s="396"/>
      <c r="S95" s="396"/>
      <c r="T95" s="396"/>
      <c r="U95" s="396"/>
      <c r="V95" s="397"/>
    </row>
    <row r="96" spans="1:26" ht="3.75" customHeight="1" x14ac:dyDescent="0.25">
      <c r="A96" s="501"/>
      <c r="B96" s="374"/>
      <c r="C96" s="374"/>
      <c r="D96" s="374"/>
      <c r="E96" s="374"/>
      <c r="F96" s="374"/>
      <c r="G96" s="374"/>
      <c r="H96" s="374"/>
      <c r="I96" s="375"/>
      <c r="J96" s="420"/>
      <c r="O96" s="396"/>
      <c r="P96" s="396"/>
      <c r="Q96" s="396"/>
      <c r="R96" s="396"/>
      <c r="S96" s="396"/>
      <c r="T96" s="396"/>
      <c r="U96" s="396"/>
      <c r="V96" s="397"/>
    </row>
    <row r="97" spans="1:22" x14ac:dyDescent="0.25">
      <c r="A97" s="433" t="s">
        <v>203</v>
      </c>
      <c r="B97" s="180">
        <f t="shared" ref="B97:I97" si="18">B75/B95</f>
        <v>0.39714919380727604</v>
      </c>
      <c r="C97" s="180" t="e">
        <f t="shared" si="18"/>
        <v>#VALUE!</v>
      </c>
      <c r="D97" s="180">
        <f t="shared" si="18"/>
        <v>0.6667533010171518</v>
      </c>
      <c r="E97" s="180" t="e">
        <f t="shared" si="18"/>
        <v>#VALUE!</v>
      </c>
      <c r="F97" s="180">
        <f t="shared" si="18"/>
        <v>0.55122431517356363</v>
      </c>
      <c r="G97" s="180" t="e">
        <f t="shared" si="18"/>
        <v>#VALUE!</v>
      </c>
      <c r="H97" s="180">
        <f t="shared" si="18"/>
        <v>0.69394566982287709</v>
      </c>
      <c r="I97" s="182" t="e">
        <f t="shared" si="18"/>
        <v>#VALUE!</v>
      </c>
      <c r="J97" s="420"/>
      <c r="O97" s="396"/>
      <c r="P97" s="396"/>
      <c r="Q97" s="396"/>
      <c r="R97" s="396"/>
      <c r="S97" s="396"/>
      <c r="T97" s="396"/>
      <c r="U97" s="396"/>
      <c r="V97" s="397"/>
    </row>
    <row r="98" spans="1:22" s="382" customFormat="1" x14ac:dyDescent="0.25">
      <c r="A98" s="433" t="s">
        <v>204</v>
      </c>
      <c r="B98" s="181">
        <f>3600/B95+225*(B97-1+SQRT((B97-1)^2+((3600/B95)*B97/112.5)))</f>
        <v>7.5042943643900841</v>
      </c>
      <c r="C98" s="181" t="e">
        <f t="shared" ref="C98:I98" si="19">3600/C95+225*(C97-1+SQRT((C97-1)^2+((3600/C95)*C97/112.5)))</f>
        <v>#VALUE!</v>
      </c>
      <c r="D98" s="181">
        <f t="shared" si="19"/>
        <v>12.216481078457374</v>
      </c>
      <c r="E98" s="181" t="e">
        <f t="shared" si="19"/>
        <v>#VALUE!</v>
      </c>
      <c r="F98" s="181">
        <f t="shared" si="19"/>
        <v>10.164791405398333</v>
      </c>
      <c r="G98" s="181" t="e">
        <f t="shared" si="19"/>
        <v>#VALUE!</v>
      </c>
      <c r="H98" s="181">
        <f t="shared" si="19"/>
        <v>11.951871137643197</v>
      </c>
      <c r="I98" s="248" t="e">
        <f t="shared" si="19"/>
        <v>#VALUE!</v>
      </c>
      <c r="J98" s="420"/>
      <c r="O98" s="396"/>
      <c r="P98" s="396"/>
      <c r="Q98" s="396"/>
      <c r="R98" s="396"/>
      <c r="S98" s="396"/>
      <c r="T98" s="396"/>
      <c r="U98" s="396"/>
      <c r="V98" s="397"/>
    </row>
    <row r="99" spans="1:22" s="220" customFormat="1" ht="15" customHeight="1" x14ac:dyDescent="0.25">
      <c r="A99" s="228" t="s">
        <v>85</v>
      </c>
      <c r="B99" s="226" t="str">
        <f t="shared" ref="B99:I99" si="20">VLOOKUP(B98,$U105:$V110,2,TRUE)</f>
        <v>A</v>
      </c>
      <c r="C99" s="226" t="e">
        <f t="shared" si="20"/>
        <v>#VALUE!</v>
      </c>
      <c r="D99" s="226" t="str">
        <f t="shared" si="20"/>
        <v>B</v>
      </c>
      <c r="E99" s="226" t="e">
        <f t="shared" si="20"/>
        <v>#VALUE!</v>
      </c>
      <c r="F99" s="226" t="str">
        <f t="shared" si="20"/>
        <v>B</v>
      </c>
      <c r="G99" s="226" t="e">
        <f t="shared" si="20"/>
        <v>#VALUE!</v>
      </c>
      <c r="H99" s="226" t="str">
        <f t="shared" si="20"/>
        <v>B</v>
      </c>
      <c r="I99" s="230" t="e">
        <f t="shared" si="20"/>
        <v>#VALUE!</v>
      </c>
      <c r="J99" s="225"/>
      <c r="O99" s="221"/>
      <c r="P99" s="221"/>
      <c r="Q99" s="221"/>
      <c r="R99" s="221"/>
      <c r="S99" s="221"/>
      <c r="T99" s="221"/>
      <c r="U99" s="221"/>
      <c r="V99" s="222"/>
    </row>
    <row r="100" spans="1:22" s="382" customFormat="1" hidden="1" x14ac:dyDescent="0.25">
      <c r="A100" s="174" t="s">
        <v>10</v>
      </c>
      <c r="B100" s="399">
        <f>225*(B97-1+SQRT((1-B97)^2+((3600/B95)*B97/37.5)))*(B95/3600)</f>
        <v>1.9149406669287374</v>
      </c>
      <c r="C100" s="399" t="e">
        <f t="shared" ref="C100:I100" si="21">225*(C97-1+SQRT((1-C97)^2+((3600/C95)*C97/37.5)))*(C95/3600)</f>
        <v>#VALUE!</v>
      </c>
      <c r="D100" s="399">
        <f>225*(D97-1+SQRT((1-D97)^2+((3600/D95)*D97/37.5)))*(D95/3600)</f>
        <v>5.2329438859636666</v>
      </c>
      <c r="E100" s="399" t="e">
        <f t="shared" si="21"/>
        <v>#VALUE!</v>
      </c>
      <c r="F100" s="399">
        <f t="shared" si="21"/>
        <v>3.4171539431167686</v>
      </c>
      <c r="G100" s="399" t="e">
        <f t="shared" si="21"/>
        <v>#VALUE!</v>
      </c>
      <c r="H100" s="399">
        <f t="shared" si="21"/>
        <v>5.8549835753960915</v>
      </c>
      <c r="I100" s="423" t="e">
        <f t="shared" si="21"/>
        <v>#VALUE!</v>
      </c>
      <c r="J100" s="420"/>
      <c r="O100" s="396"/>
      <c r="P100" s="396"/>
      <c r="Q100" s="396"/>
      <c r="R100" s="396"/>
      <c r="S100" s="396"/>
      <c r="T100" s="396"/>
      <c r="U100" s="396"/>
      <c r="V100" s="397"/>
    </row>
    <row r="101" spans="1:22" s="382" customFormat="1" x14ac:dyDescent="0.25">
      <c r="A101" s="224" t="s">
        <v>138</v>
      </c>
      <c r="B101" s="235">
        <f t="shared" ref="B101:I101" si="22">(B100*($O$62/B63))</f>
        <v>48.830987006682804</v>
      </c>
      <c r="C101" s="235" t="e">
        <f t="shared" si="22"/>
        <v>#VALUE!</v>
      </c>
      <c r="D101" s="235">
        <f t="shared" si="22"/>
        <v>133.44006909207349</v>
      </c>
      <c r="E101" s="235" t="e">
        <f t="shared" si="22"/>
        <v>#VALUE!</v>
      </c>
      <c r="F101" s="235">
        <f t="shared" si="22"/>
        <v>87.137425549477598</v>
      </c>
      <c r="G101" s="235" t="e">
        <f t="shared" si="22"/>
        <v>#VALUE!</v>
      </c>
      <c r="H101" s="235">
        <f t="shared" si="22"/>
        <v>149.30208117260034</v>
      </c>
      <c r="I101" s="183" t="e">
        <f t="shared" si="22"/>
        <v>#VALUE!</v>
      </c>
      <c r="O101" s="396"/>
      <c r="P101" s="396"/>
      <c r="Q101" s="396"/>
      <c r="R101" s="396"/>
      <c r="S101" s="396"/>
      <c r="T101" s="396"/>
      <c r="U101" s="396"/>
      <c r="V101" s="397"/>
    </row>
    <row r="102" spans="1:22" s="382" customFormat="1" ht="15" customHeight="1" x14ac:dyDescent="0.25">
      <c r="A102" s="410" t="s">
        <v>149</v>
      </c>
      <c r="B102" s="471"/>
      <c r="C102" s="350"/>
      <c r="D102" s="351"/>
      <c r="E102" s="366"/>
      <c r="F102" s="366"/>
      <c r="G102" s="366"/>
      <c r="H102" s="366"/>
      <c r="I102" s="366"/>
      <c r="O102" s="396"/>
      <c r="P102" s="396"/>
      <c r="Q102" s="396"/>
      <c r="R102" s="396"/>
      <c r="S102" s="396"/>
      <c r="T102" s="396"/>
    </row>
    <row r="103" spans="1:22" s="382" customFormat="1" ht="15" customHeight="1" x14ac:dyDescent="0.25">
      <c r="A103" s="410"/>
      <c r="B103" s="462"/>
      <c r="C103" s="366"/>
      <c r="D103" s="366"/>
      <c r="E103" s="366"/>
      <c r="F103" s="366"/>
      <c r="G103" s="366"/>
      <c r="H103" s="366"/>
      <c r="I103" s="366"/>
      <c r="O103" s="396"/>
      <c r="P103" s="396"/>
      <c r="Q103" s="396"/>
      <c r="R103" s="396"/>
      <c r="S103" s="396"/>
      <c r="T103" s="396"/>
      <c r="U103" s="392" t="s">
        <v>83</v>
      </c>
      <c r="V103" s="392"/>
    </row>
    <row r="104" spans="1:22" s="382" customFormat="1" ht="15" customHeight="1" x14ac:dyDescent="0.25">
      <c r="A104" s="366"/>
      <c r="B104" s="366"/>
      <c r="C104" s="411"/>
      <c r="D104" s="366"/>
      <c r="E104" s="366"/>
      <c r="F104" s="366"/>
      <c r="G104" s="366"/>
      <c r="H104" s="366"/>
      <c r="I104" s="411"/>
      <c r="J104" s="386"/>
      <c r="O104" s="396"/>
      <c r="P104" s="396"/>
      <c r="Q104" s="396"/>
      <c r="R104" s="396"/>
      <c r="S104" s="396"/>
      <c r="T104" s="396"/>
      <c r="U104" s="139" t="s">
        <v>84</v>
      </c>
      <c r="V104" s="139" t="s">
        <v>181</v>
      </c>
    </row>
    <row r="105" spans="1:22" s="382" customFormat="1" ht="15.75" customHeight="1" x14ac:dyDescent="0.25">
      <c r="A105" s="366"/>
      <c r="B105" s="366"/>
      <c r="C105" s="411"/>
      <c r="D105" s="366"/>
      <c r="E105" s="366"/>
      <c r="F105" s="366"/>
      <c r="G105" s="366"/>
      <c r="H105" s="366"/>
      <c r="I105" s="366"/>
      <c r="O105" s="396"/>
      <c r="P105" s="396"/>
      <c r="Q105" s="396"/>
      <c r="R105" s="396"/>
      <c r="S105" s="396"/>
      <c r="T105" s="396"/>
      <c r="U105" s="139">
        <v>0</v>
      </c>
      <c r="V105" s="139" t="s">
        <v>86</v>
      </c>
    </row>
    <row r="106" spans="1:22" s="382" customFormat="1" x14ac:dyDescent="0.25">
      <c r="A106" s="366"/>
      <c r="B106" s="366"/>
      <c r="C106" s="366"/>
      <c r="D106" s="366"/>
      <c r="E106" s="366"/>
      <c r="F106" s="366"/>
      <c r="G106" s="381" t="s">
        <v>205</v>
      </c>
      <c r="H106" s="366"/>
      <c r="I106" s="366"/>
      <c r="O106" s="396"/>
      <c r="P106" s="396"/>
      <c r="Q106" s="396"/>
      <c r="R106" s="396"/>
      <c r="S106" s="396"/>
      <c r="T106" s="396"/>
      <c r="U106" s="139">
        <v>10</v>
      </c>
      <c r="V106" s="139" t="s">
        <v>87</v>
      </c>
    </row>
    <row r="107" spans="1:22" s="382" customFormat="1" x14ac:dyDescent="0.25">
      <c r="A107" s="366"/>
      <c r="B107" s="366"/>
      <c r="C107" s="366"/>
      <c r="D107" s="366"/>
      <c r="E107" s="366"/>
      <c r="F107" s="366"/>
      <c r="G107" s="366" t="s">
        <v>206</v>
      </c>
      <c r="H107" s="366"/>
      <c r="I107" s="366"/>
      <c r="O107" s="396"/>
      <c r="P107" s="396"/>
      <c r="Q107" s="396"/>
      <c r="R107" s="396"/>
      <c r="S107" s="396"/>
      <c r="T107" s="396"/>
      <c r="U107" s="139">
        <v>15</v>
      </c>
      <c r="V107" s="139" t="s">
        <v>88</v>
      </c>
    </row>
    <row r="108" spans="1:22" s="382" customFormat="1" x14ac:dyDescent="0.25">
      <c r="A108" s="366"/>
      <c r="B108" s="366"/>
      <c r="C108" s="366"/>
      <c r="D108" s="366"/>
      <c r="E108" s="366"/>
      <c r="F108" s="366"/>
      <c r="G108" s="366" t="s">
        <v>207</v>
      </c>
      <c r="H108" s="366"/>
      <c r="I108" s="366"/>
      <c r="O108" s="396"/>
      <c r="P108" s="396"/>
      <c r="Q108" s="396"/>
      <c r="R108" s="396"/>
      <c r="S108" s="396"/>
      <c r="T108" s="396"/>
      <c r="U108" s="139">
        <v>25</v>
      </c>
      <c r="V108" s="139" t="s">
        <v>47</v>
      </c>
    </row>
    <row r="109" spans="1:22" s="382" customFormat="1" ht="18" x14ac:dyDescent="0.35">
      <c r="A109" s="366"/>
      <c r="B109" s="366"/>
      <c r="C109" s="366"/>
      <c r="D109" s="366"/>
      <c r="E109" s="366"/>
      <c r="F109" s="366"/>
      <c r="G109" s="462" t="s">
        <v>208</v>
      </c>
      <c r="H109" s="366"/>
      <c r="I109" s="366"/>
      <c r="O109" s="396"/>
      <c r="P109" s="396"/>
      <c r="Q109" s="396"/>
      <c r="R109" s="396"/>
      <c r="S109" s="396"/>
      <c r="T109" s="396"/>
      <c r="U109" s="139">
        <v>35</v>
      </c>
      <c r="V109" s="139" t="s">
        <v>30</v>
      </c>
    </row>
    <row r="110" spans="1:22" s="382" customFormat="1" x14ac:dyDescent="0.25">
      <c r="A110" s="366"/>
      <c r="B110" s="366"/>
      <c r="C110" s="366"/>
      <c r="D110" s="366"/>
      <c r="E110" s="366"/>
      <c r="F110" s="366"/>
      <c r="G110" s="411" t="s">
        <v>209</v>
      </c>
      <c r="H110" s="366"/>
      <c r="I110" s="366"/>
      <c r="O110" s="396"/>
      <c r="P110" s="396"/>
      <c r="Q110" s="396"/>
      <c r="R110" s="396"/>
      <c r="S110" s="396"/>
      <c r="T110" s="396"/>
      <c r="U110" s="139">
        <v>50</v>
      </c>
      <c r="V110" s="139" t="s">
        <v>66</v>
      </c>
    </row>
    <row r="111" spans="1:22" s="382" customFormat="1" x14ac:dyDescent="0.25">
      <c r="A111" s="366"/>
      <c r="B111" s="366"/>
      <c r="C111" s="366"/>
      <c r="D111" s="366"/>
      <c r="E111" s="366"/>
      <c r="F111" s="366"/>
      <c r="G111" s="366"/>
      <c r="H111" s="366"/>
      <c r="I111" s="366"/>
      <c r="O111" s="396"/>
      <c r="P111" s="396"/>
      <c r="Q111" s="396"/>
      <c r="R111" s="396"/>
      <c r="S111" s="396"/>
      <c r="T111" s="396"/>
      <c r="U111" s="326" t="s">
        <v>84</v>
      </c>
      <c r="V111" s="326" t="s">
        <v>182</v>
      </c>
    </row>
    <row r="112" spans="1:22" s="382" customFormat="1" ht="15.75" thickBot="1" x14ac:dyDescent="0.3">
      <c r="A112" s="266" t="s">
        <v>216</v>
      </c>
      <c r="B112" s="267"/>
      <c r="C112" s="267"/>
      <c r="D112" s="267"/>
      <c r="E112" s="267"/>
      <c r="F112" s="267"/>
      <c r="G112" s="267"/>
      <c r="H112" s="267"/>
      <c r="I112" s="268"/>
      <c r="O112" s="396"/>
      <c r="P112" s="396"/>
      <c r="Q112" s="396"/>
      <c r="R112" s="396"/>
      <c r="S112" s="396"/>
      <c r="T112" s="396"/>
      <c r="U112" s="326">
        <v>0</v>
      </c>
      <c r="V112" s="326" t="s">
        <v>86</v>
      </c>
    </row>
    <row r="113" spans="1:22" s="382" customFormat="1" ht="15" customHeight="1" thickTop="1" x14ac:dyDescent="0.25">
      <c r="A113" s="431"/>
      <c r="B113" s="430"/>
      <c r="C113" s="430"/>
      <c r="D113" s="955" t="s">
        <v>172</v>
      </c>
      <c r="E113" s="955" t="s">
        <v>176</v>
      </c>
      <c r="F113" s="955" t="s">
        <v>177</v>
      </c>
      <c r="G113" s="955" t="s">
        <v>178</v>
      </c>
      <c r="H113" s="955" t="s">
        <v>179</v>
      </c>
      <c r="I113" s="968" t="s">
        <v>188</v>
      </c>
      <c r="O113" s="396"/>
      <c r="P113" s="396"/>
      <c r="Q113" s="396"/>
      <c r="R113" s="396"/>
      <c r="S113" s="396"/>
      <c r="T113" s="396"/>
      <c r="U113" s="326">
        <v>10</v>
      </c>
      <c r="V113" s="326" t="s">
        <v>87</v>
      </c>
    </row>
    <row r="114" spans="1:22" s="382" customFormat="1" x14ac:dyDescent="0.25">
      <c r="A114" s="1069" t="s">
        <v>174</v>
      </c>
      <c r="B114" s="1070"/>
      <c r="C114" s="1071"/>
      <c r="D114" s="956"/>
      <c r="E114" s="956"/>
      <c r="F114" s="956"/>
      <c r="G114" s="956"/>
      <c r="H114" s="956"/>
      <c r="I114" s="969"/>
      <c r="O114" s="396"/>
      <c r="P114" s="396"/>
      <c r="Q114" s="396"/>
      <c r="R114" s="396"/>
      <c r="S114" s="396"/>
      <c r="T114" s="396"/>
      <c r="U114" s="326">
        <v>20</v>
      </c>
      <c r="V114" s="326" t="s">
        <v>88</v>
      </c>
    </row>
    <row r="115" spans="1:22" s="382" customFormat="1" x14ac:dyDescent="0.25">
      <c r="A115" s="946" t="s">
        <v>183</v>
      </c>
      <c r="B115" s="1072"/>
      <c r="C115" s="947"/>
      <c r="D115" s="251" t="s">
        <v>50</v>
      </c>
      <c r="E115" s="251"/>
      <c r="F115" s="251"/>
      <c r="G115" s="251"/>
      <c r="H115" s="251"/>
      <c r="I115" s="252"/>
      <c r="O115" s="396"/>
      <c r="P115" s="396"/>
      <c r="Q115" s="396"/>
      <c r="R115" s="396"/>
      <c r="S115" s="396"/>
      <c r="T115" s="396"/>
      <c r="U115" s="326">
        <v>35</v>
      </c>
      <c r="V115" s="326" t="s">
        <v>47</v>
      </c>
    </row>
    <row r="116" spans="1:22" s="382" customFormat="1" x14ac:dyDescent="0.25">
      <c r="A116" s="265" t="s">
        <v>173</v>
      </c>
      <c r="B116" s="265"/>
      <c r="C116" s="265"/>
      <c r="D116" s="251" t="s">
        <v>48</v>
      </c>
      <c r="E116" s="251"/>
      <c r="F116" s="251"/>
      <c r="G116" s="251"/>
      <c r="H116" s="251"/>
      <c r="I116" s="252"/>
      <c r="O116" s="396"/>
      <c r="P116" s="396"/>
      <c r="Q116" s="396"/>
      <c r="R116" s="396"/>
      <c r="S116" s="396"/>
      <c r="T116" s="396"/>
      <c r="U116" s="326">
        <v>55</v>
      </c>
      <c r="V116" s="326" t="s">
        <v>30</v>
      </c>
    </row>
    <row r="117" spans="1:22" s="382" customFormat="1" x14ac:dyDescent="0.25">
      <c r="A117" s="440" t="s">
        <v>1</v>
      </c>
      <c r="B117" s="432"/>
      <c r="C117" s="432"/>
      <c r="D117" s="432"/>
      <c r="E117" s="432"/>
      <c r="F117" s="432"/>
      <c r="G117" s="432"/>
      <c r="H117" s="432"/>
      <c r="I117" s="436"/>
      <c r="O117" s="396"/>
      <c r="P117" s="396"/>
      <c r="Q117" s="396"/>
      <c r="R117" s="396"/>
      <c r="S117" s="396"/>
      <c r="T117" s="396"/>
      <c r="U117" s="326">
        <v>80</v>
      </c>
      <c r="V117" s="326" t="s">
        <v>66</v>
      </c>
    </row>
    <row r="118" spans="1:22" s="382" customFormat="1" ht="18.75" customHeight="1" x14ac:dyDescent="0.25">
      <c r="A118" s="454" t="s">
        <v>171</v>
      </c>
      <c r="B118" s="212"/>
      <c r="C118" s="212"/>
      <c r="D118" s="251">
        <v>610</v>
      </c>
      <c r="E118" s="251"/>
      <c r="F118" s="251"/>
      <c r="G118" s="251"/>
      <c r="H118" s="251"/>
      <c r="I118" s="252"/>
    </row>
    <row r="119" spans="1:22" s="382" customFormat="1" x14ac:dyDescent="0.25">
      <c r="A119" s="441" t="s">
        <v>175</v>
      </c>
      <c r="B119" s="346"/>
      <c r="C119" s="211"/>
      <c r="D119" s="211"/>
      <c r="E119" s="236"/>
      <c r="F119" s="236"/>
      <c r="G119" s="236"/>
      <c r="H119" s="236"/>
      <c r="I119" s="243"/>
    </row>
    <row r="120" spans="1:22" s="382" customFormat="1" x14ac:dyDescent="0.25">
      <c r="A120" s="501" t="s">
        <v>5</v>
      </c>
      <c r="B120" s="366"/>
      <c r="C120" s="212"/>
      <c r="D120" s="449">
        <f t="shared" ref="D120:I120" si="23">HLOOKUP(D115,$B33:$I63,17,FALSE)</f>
        <v>0</v>
      </c>
      <c r="E120" s="449" t="e">
        <f t="shared" si="23"/>
        <v>#N/A</v>
      </c>
      <c r="F120" s="449" t="e">
        <f t="shared" si="23"/>
        <v>#N/A</v>
      </c>
      <c r="G120" s="449" t="e">
        <f t="shared" si="23"/>
        <v>#N/A</v>
      </c>
      <c r="H120" s="449" t="e">
        <f t="shared" si="23"/>
        <v>#N/A</v>
      </c>
      <c r="I120" s="437" t="e">
        <f t="shared" si="23"/>
        <v>#N/A</v>
      </c>
    </row>
    <row r="121" spans="1:22" s="382" customFormat="1" ht="15.75" x14ac:dyDescent="0.3">
      <c r="A121" s="501" t="s">
        <v>69</v>
      </c>
      <c r="B121" s="366"/>
      <c r="C121" s="212"/>
      <c r="D121" s="449">
        <f t="shared" ref="D121:I121" si="24">HLOOKUP(D115,$B33:$I63,18,FALSE)</f>
        <v>0</v>
      </c>
      <c r="E121" s="449" t="e">
        <f t="shared" si="24"/>
        <v>#N/A</v>
      </c>
      <c r="F121" s="449" t="e">
        <f t="shared" si="24"/>
        <v>#N/A</v>
      </c>
      <c r="G121" s="449" t="e">
        <f t="shared" si="24"/>
        <v>#N/A</v>
      </c>
      <c r="H121" s="449" t="e">
        <f t="shared" si="24"/>
        <v>#N/A</v>
      </c>
      <c r="I121" s="437" t="e">
        <f t="shared" si="24"/>
        <v>#N/A</v>
      </c>
    </row>
    <row r="122" spans="1:22" s="382" customFormat="1" x14ac:dyDescent="0.25">
      <c r="A122" s="501"/>
      <c r="B122" s="366"/>
      <c r="C122" s="212"/>
      <c r="D122" s="449">
        <f t="shared" ref="D122:I122" si="25">HLOOKUP(D115,$B33:$I64,19,FALSE)</f>
        <v>0</v>
      </c>
      <c r="E122" s="449" t="e">
        <f t="shared" si="25"/>
        <v>#N/A</v>
      </c>
      <c r="F122" s="449" t="e">
        <f t="shared" si="25"/>
        <v>#N/A</v>
      </c>
      <c r="G122" s="449" t="e">
        <f t="shared" si="25"/>
        <v>#N/A</v>
      </c>
      <c r="H122" s="449" t="e">
        <f t="shared" si="25"/>
        <v>#N/A</v>
      </c>
      <c r="I122" s="449" t="e">
        <f t="shared" si="25"/>
        <v>#N/A</v>
      </c>
    </row>
    <row r="123" spans="1:22" s="382" customFormat="1" x14ac:dyDescent="0.25">
      <c r="A123" s="442" t="s">
        <v>211</v>
      </c>
      <c r="B123" s="366"/>
      <c r="C123" s="212"/>
      <c r="D123" s="233"/>
      <c r="E123" s="212"/>
      <c r="F123" s="212"/>
      <c r="G123" s="212"/>
      <c r="H123" s="212"/>
      <c r="I123" s="244"/>
    </row>
    <row r="124" spans="1:22" s="382" customFormat="1" ht="15" customHeight="1" x14ac:dyDescent="0.25">
      <c r="A124" s="441" t="s">
        <v>70</v>
      </c>
      <c r="C124" s="211"/>
      <c r="D124" s="386"/>
      <c r="E124" s="250"/>
      <c r="F124" s="236"/>
      <c r="G124" s="236"/>
      <c r="H124" s="236"/>
      <c r="I124" s="243"/>
    </row>
    <row r="125" spans="1:22" s="382" customFormat="1" ht="15" customHeight="1" x14ac:dyDescent="0.25">
      <c r="A125" s="453" t="s">
        <v>128</v>
      </c>
      <c r="B125" s="366"/>
      <c r="C125" s="212"/>
      <c r="D125" s="376" t="e">
        <f>D118/(D120*D121)</f>
        <v>#DIV/0!</v>
      </c>
      <c r="E125" s="376" t="e">
        <f t="shared" ref="E125:I125" si="26">E118/(E120*E121)</f>
        <v>#N/A</v>
      </c>
      <c r="F125" s="376" t="e">
        <f t="shared" si="26"/>
        <v>#N/A</v>
      </c>
      <c r="G125" s="376" t="e">
        <f t="shared" si="26"/>
        <v>#N/A</v>
      </c>
      <c r="H125" s="376" t="e">
        <f t="shared" si="26"/>
        <v>#N/A</v>
      </c>
      <c r="I125" s="377" t="e">
        <f t="shared" si="26"/>
        <v>#N/A</v>
      </c>
    </row>
    <row r="126" spans="1:22" s="382" customFormat="1" ht="15" customHeight="1" x14ac:dyDescent="0.25">
      <c r="A126" s="370" t="s">
        <v>129</v>
      </c>
      <c r="B126" s="366"/>
      <c r="C126" s="212"/>
      <c r="D126" s="376">
        <f t="shared" ref="D126:I126" si="27">VLOOKUP(D116,$T67:$U74,2,FALSE)</f>
        <v>455.74468085106389</v>
      </c>
      <c r="E126" s="376" t="e">
        <f t="shared" si="27"/>
        <v>#N/A</v>
      </c>
      <c r="F126" s="376" t="e">
        <f t="shared" si="27"/>
        <v>#N/A</v>
      </c>
      <c r="G126" s="376" t="e">
        <f t="shared" si="27"/>
        <v>#N/A</v>
      </c>
      <c r="H126" s="376" t="e">
        <f t="shared" si="27"/>
        <v>#N/A</v>
      </c>
      <c r="I126" s="377" t="e">
        <f t="shared" si="27"/>
        <v>#N/A</v>
      </c>
    </row>
    <row r="127" spans="1:22" s="382" customFormat="1" x14ac:dyDescent="0.25">
      <c r="A127" s="450" t="s">
        <v>274</v>
      </c>
      <c r="B127" s="404"/>
      <c r="C127" s="261"/>
      <c r="D127" s="262"/>
      <c r="E127" s="263"/>
      <c r="F127" s="261"/>
      <c r="G127" s="261"/>
      <c r="H127" s="261"/>
      <c r="I127" s="496"/>
    </row>
    <row r="128" spans="1:22" s="382" customFormat="1" ht="15.75" thickBot="1" x14ac:dyDescent="0.3">
      <c r="A128" s="501" t="s">
        <v>275</v>
      </c>
      <c r="B128" s="366"/>
      <c r="C128" s="212"/>
      <c r="D128" s="435">
        <f>(1130*EXP(-0.001*D126))*D121*D122</f>
        <v>0</v>
      </c>
      <c r="E128" s="435" t="e">
        <f t="shared" ref="E128:I128" si="28">(1130*EXP(-0.001*E126))*E121*E122</f>
        <v>#N/A</v>
      </c>
      <c r="F128" s="435" t="e">
        <f t="shared" si="28"/>
        <v>#N/A</v>
      </c>
      <c r="G128" s="435" t="e">
        <f t="shared" si="28"/>
        <v>#N/A</v>
      </c>
      <c r="H128" s="435" t="e">
        <f t="shared" si="28"/>
        <v>#N/A</v>
      </c>
      <c r="I128" s="438" t="e">
        <f t="shared" si="28"/>
        <v>#N/A</v>
      </c>
    </row>
    <row r="129" spans="1:9" s="382" customFormat="1" ht="15.75" thickTop="1" x14ac:dyDescent="0.25">
      <c r="A129" s="501"/>
      <c r="B129" s="366"/>
      <c r="C129" s="212"/>
      <c r="D129" s="374" t="e">
        <f>IF(D128="NA","NA",D125*D121)</f>
        <v>#DIV/0!</v>
      </c>
      <c r="E129" s="362"/>
      <c r="F129" s="362"/>
      <c r="G129" s="362"/>
      <c r="H129" s="362"/>
      <c r="I129" s="497"/>
    </row>
    <row r="130" spans="1:9" s="382" customFormat="1" x14ac:dyDescent="0.25">
      <c r="A130" s="433" t="s">
        <v>203</v>
      </c>
      <c r="B130" s="237"/>
      <c r="C130" s="237"/>
      <c r="D130" s="434" t="e">
        <f>D129/D128</f>
        <v>#DIV/0!</v>
      </c>
      <c r="E130" s="434" t="e">
        <f t="shared" ref="E130:I130" si="29">E125/E128</f>
        <v>#N/A</v>
      </c>
      <c r="F130" s="434" t="e">
        <f t="shared" si="29"/>
        <v>#N/A</v>
      </c>
      <c r="G130" s="434" t="e">
        <f t="shared" si="29"/>
        <v>#N/A</v>
      </c>
      <c r="H130" s="434" t="e">
        <f t="shared" si="29"/>
        <v>#N/A</v>
      </c>
      <c r="I130" s="439" t="e">
        <f t="shared" si="29"/>
        <v>#N/A</v>
      </c>
    </row>
    <row r="131" spans="1:9" s="382" customFormat="1" x14ac:dyDescent="0.25">
      <c r="A131" s="433" t="s">
        <v>204</v>
      </c>
      <c r="B131" s="238"/>
      <c r="C131" s="238"/>
      <c r="D131" s="451" t="e">
        <f>3600/D128+900*0.25*(D130-1+SQRT((D130-1)^2+((3600/D128)*D130)/(450*0.25)))+(5*(MIN(D130,1)))</f>
        <v>#DIV/0!</v>
      </c>
      <c r="E131" s="451" t="e">
        <f t="shared" ref="E131:I131" si="30">3600/E128+900*0.25*(E130-1+SQRT((E130-1)^2+((3600/E128)*E130)/(450*0.25)))</f>
        <v>#N/A</v>
      </c>
      <c r="F131" s="451" t="e">
        <f t="shared" si="30"/>
        <v>#N/A</v>
      </c>
      <c r="G131" s="451" t="e">
        <f t="shared" si="30"/>
        <v>#N/A</v>
      </c>
      <c r="H131" s="451" t="e">
        <f t="shared" si="30"/>
        <v>#N/A</v>
      </c>
      <c r="I131" s="452" t="e">
        <f t="shared" si="30"/>
        <v>#N/A</v>
      </c>
    </row>
    <row r="132" spans="1:9" s="382" customFormat="1" x14ac:dyDescent="0.25">
      <c r="A132" s="501" t="s">
        <v>85</v>
      </c>
      <c r="B132" s="365"/>
      <c r="C132" s="365"/>
      <c r="D132" s="378" t="e">
        <f t="shared" ref="D132:I132" si="31">VLOOKUP(D131,$U105:$V110,2,TRUE)</f>
        <v>#DIV/0!</v>
      </c>
      <c r="E132" s="378" t="e">
        <f t="shared" si="31"/>
        <v>#N/A</v>
      </c>
      <c r="F132" s="378" t="e">
        <f t="shared" si="31"/>
        <v>#N/A</v>
      </c>
      <c r="G132" s="378" t="e">
        <f t="shared" si="31"/>
        <v>#N/A</v>
      </c>
      <c r="H132" s="378" t="e">
        <f t="shared" si="31"/>
        <v>#N/A</v>
      </c>
      <c r="I132" s="379" t="e">
        <f t="shared" si="31"/>
        <v>#N/A</v>
      </c>
    </row>
    <row r="133" spans="1:9" s="382" customFormat="1" hidden="1" x14ac:dyDescent="0.25">
      <c r="A133" s="501" t="s">
        <v>180</v>
      </c>
      <c r="B133" s="365"/>
      <c r="C133" s="365"/>
      <c r="D133" s="378" t="e">
        <f t="shared" ref="D133:I133" si="32">VLOOKUP(D131,$U112:$V117,2,TRUE)</f>
        <v>#DIV/0!</v>
      </c>
      <c r="E133" s="378" t="e">
        <f t="shared" si="32"/>
        <v>#N/A</v>
      </c>
      <c r="F133" s="378" t="e">
        <f t="shared" si="32"/>
        <v>#N/A</v>
      </c>
      <c r="G133" s="378" t="e">
        <f t="shared" si="32"/>
        <v>#N/A</v>
      </c>
      <c r="H133" s="378" t="e">
        <f t="shared" si="32"/>
        <v>#N/A</v>
      </c>
      <c r="I133" s="379" t="e">
        <f t="shared" si="32"/>
        <v>#N/A</v>
      </c>
    </row>
    <row r="134" spans="1:9" s="382" customFormat="1" hidden="1" x14ac:dyDescent="0.25">
      <c r="A134" s="229" t="s">
        <v>210</v>
      </c>
      <c r="B134" s="239"/>
      <c r="C134" s="239"/>
      <c r="D134" s="226" t="e">
        <f>""&amp;D132&amp;" / "&amp;D133&amp;"*"</f>
        <v>#DIV/0!</v>
      </c>
      <c r="E134" s="226" t="e">
        <f t="shared" ref="E134:I134" si="33">""&amp;E132&amp;" / "&amp;E133&amp;"*"</f>
        <v>#N/A</v>
      </c>
      <c r="F134" s="226" t="e">
        <f t="shared" si="33"/>
        <v>#N/A</v>
      </c>
      <c r="G134" s="226" t="e">
        <f t="shared" si="33"/>
        <v>#N/A</v>
      </c>
      <c r="H134" s="226" t="e">
        <f t="shared" si="33"/>
        <v>#N/A</v>
      </c>
      <c r="I134" s="226" t="e">
        <f t="shared" si="33"/>
        <v>#N/A</v>
      </c>
    </row>
    <row r="135" spans="1:9" s="382" customFormat="1" hidden="1" x14ac:dyDescent="0.25">
      <c r="A135" s="231" t="s">
        <v>10</v>
      </c>
      <c r="B135" s="234"/>
      <c r="C135" s="234"/>
      <c r="D135" s="399" t="e">
        <f>225*(D130-1+SQRT((1-D130)^2+((3600/D128)*D130/37.5)))*(D128/3600)</f>
        <v>#DIV/0!</v>
      </c>
      <c r="E135" s="399" t="e">
        <f t="shared" ref="E135:I135" si="34">225*(E130-1+SQRT((1-E130)^2+((3600/E128)*E130/37.5)))*(E128/3600)</f>
        <v>#N/A</v>
      </c>
      <c r="F135" s="399" t="e">
        <f t="shared" si="34"/>
        <v>#N/A</v>
      </c>
      <c r="G135" s="399" t="e">
        <f t="shared" si="34"/>
        <v>#N/A</v>
      </c>
      <c r="H135" s="399" t="e">
        <f t="shared" si="34"/>
        <v>#N/A</v>
      </c>
      <c r="I135" s="423" t="e">
        <f t="shared" si="34"/>
        <v>#N/A</v>
      </c>
    </row>
    <row r="136" spans="1:9" s="382" customFormat="1" x14ac:dyDescent="0.25">
      <c r="A136" s="245" t="s">
        <v>138</v>
      </c>
      <c r="B136" s="246"/>
      <c r="C136" s="247"/>
      <c r="D136" s="235" t="e">
        <f>(D135*($O$62/D121))</f>
        <v>#DIV/0!</v>
      </c>
      <c r="E136" s="235" t="e">
        <f t="shared" ref="E136:I136" si="35">(E135*($O$62/E121))</f>
        <v>#N/A</v>
      </c>
      <c r="F136" s="235" t="e">
        <f t="shared" si="35"/>
        <v>#N/A</v>
      </c>
      <c r="G136" s="235" t="e">
        <f t="shared" si="35"/>
        <v>#N/A</v>
      </c>
      <c r="H136" s="235" t="e">
        <f t="shared" si="35"/>
        <v>#N/A</v>
      </c>
      <c r="I136" s="183" t="e">
        <f t="shared" si="35"/>
        <v>#N/A</v>
      </c>
    </row>
    <row r="137" spans="1:9" s="382" customFormat="1" x14ac:dyDescent="0.25">
      <c r="A137" s="366"/>
      <c r="B137" s="366"/>
      <c r="C137" s="366"/>
      <c r="D137" s="366"/>
      <c r="E137" s="366"/>
      <c r="F137" s="366"/>
      <c r="G137" s="366"/>
      <c r="H137" s="366"/>
      <c r="I137" s="366"/>
    </row>
    <row r="138" spans="1:9" s="382" customFormat="1" x14ac:dyDescent="0.25">
      <c r="A138" s="366"/>
      <c r="B138" s="366"/>
      <c r="C138" s="366"/>
      <c r="D138" s="366"/>
      <c r="E138" s="366"/>
      <c r="F138" s="366"/>
      <c r="G138" s="366"/>
      <c r="H138" s="366"/>
      <c r="I138" s="366"/>
    </row>
    <row r="139" spans="1:9" s="382" customFormat="1" x14ac:dyDescent="0.25"/>
    <row r="140" spans="1:9" s="382" customFormat="1" x14ac:dyDescent="0.25"/>
    <row r="141" spans="1:9" s="382" customFormat="1" x14ac:dyDescent="0.25">
      <c r="E141" s="966"/>
      <c r="F141" s="966"/>
      <c r="G141" s="966"/>
      <c r="H141" s="966"/>
      <c r="I141" s="966"/>
    </row>
    <row r="142" spans="1:9" s="382" customFormat="1" x14ac:dyDescent="0.25">
      <c r="E142" s="967"/>
      <c r="F142" s="967"/>
      <c r="G142" s="967"/>
      <c r="H142" s="347"/>
      <c r="I142" s="347"/>
    </row>
    <row r="143" spans="1:9" s="382" customFormat="1" x14ac:dyDescent="0.25">
      <c r="E143" s="967"/>
      <c r="F143" s="967"/>
      <c r="G143" s="967"/>
      <c r="H143" s="347"/>
      <c r="I143" s="347"/>
    </row>
    <row r="144" spans="1:9" s="382" customFormat="1" x14ac:dyDescent="0.25">
      <c r="G144" s="386"/>
      <c r="H144" s="347"/>
      <c r="I144" s="347"/>
    </row>
    <row r="145" s="382" customFormat="1" x14ac:dyDescent="0.25"/>
    <row r="146" s="382" customFormat="1" x14ac:dyDescent="0.25"/>
    <row r="147" s="382" customFormat="1" x14ac:dyDescent="0.25"/>
    <row r="148" s="382" customFormat="1" x14ac:dyDescent="0.25"/>
    <row r="149" s="382" customFormat="1" x14ac:dyDescent="0.25"/>
    <row r="150" s="382" customFormat="1" x14ac:dyDescent="0.25"/>
    <row r="151" s="382" customFormat="1" x14ac:dyDescent="0.25"/>
    <row r="152" s="382" customFormat="1" x14ac:dyDescent="0.25"/>
    <row r="153" s="382" customFormat="1" x14ac:dyDescent="0.25"/>
    <row r="154" s="382" customFormat="1" x14ac:dyDescent="0.25"/>
    <row r="155" s="382" customFormat="1" x14ac:dyDescent="0.25"/>
    <row r="156" s="382" customFormat="1" x14ac:dyDescent="0.25"/>
    <row r="157" s="382" customFormat="1" x14ac:dyDescent="0.25"/>
    <row r="158" s="382" customFormat="1" x14ac:dyDescent="0.25"/>
    <row r="159" s="382" customFormat="1" x14ac:dyDescent="0.25"/>
    <row r="160" s="382" customFormat="1" x14ac:dyDescent="0.25"/>
    <row r="161" s="382" customFormat="1" x14ac:dyDescent="0.25"/>
    <row r="162" s="382" customFormat="1" x14ac:dyDescent="0.25"/>
    <row r="163" s="382" customFormat="1" x14ac:dyDescent="0.25"/>
    <row r="164" s="382" customFormat="1" x14ac:dyDescent="0.25"/>
    <row r="165" s="382" customFormat="1" x14ac:dyDescent="0.25"/>
    <row r="166" s="382" customFormat="1" x14ac:dyDescent="0.25"/>
    <row r="167" s="382" customFormat="1" x14ac:dyDescent="0.25"/>
    <row r="168" s="382" customFormat="1" x14ac:dyDescent="0.25"/>
    <row r="169" s="382" customFormat="1" x14ac:dyDescent="0.25"/>
    <row r="170" s="382" customFormat="1" x14ac:dyDescent="0.25"/>
    <row r="171" s="382" customFormat="1" x14ac:dyDescent="0.25"/>
    <row r="172" s="382" customFormat="1" x14ac:dyDescent="0.25"/>
    <row r="173" s="382" customFormat="1" x14ac:dyDescent="0.25"/>
    <row r="174" s="382" customFormat="1" x14ac:dyDescent="0.25"/>
    <row r="175" s="382" customFormat="1" x14ac:dyDescent="0.25"/>
    <row r="176" s="382" customFormat="1" x14ac:dyDescent="0.25"/>
    <row r="177" s="382" customFormat="1" x14ac:dyDescent="0.25"/>
    <row r="178" s="382" customFormat="1" x14ac:dyDescent="0.25"/>
    <row r="179" s="382" customFormat="1" x14ac:dyDescent="0.25"/>
    <row r="180" s="382" customFormat="1" x14ac:dyDescent="0.25"/>
    <row r="181" s="382" customFormat="1" x14ac:dyDescent="0.25"/>
    <row r="182" s="382" customFormat="1" x14ac:dyDescent="0.25"/>
    <row r="183" s="382" customFormat="1" x14ac:dyDescent="0.25"/>
    <row r="184" s="382" customFormat="1" x14ac:dyDescent="0.25"/>
    <row r="185" s="382" customFormat="1" x14ac:dyDescent="0.25"/>
    <row r="186" s="382" customFormat="1" x14ac:dyDescent="0.25"/>
    <row r="187" s="382" customFormat="1" x14ac:dyDescent="0.25"/>
    <row r="188" s="382" customFormat="1" x14ac:dyDescent="0.25"/>
    <row r="189" s="382" customFormat="1" x14ac:dyDescent="0.25"/>
    <row r="190" s="382" customFormat="1" x14ac:dyDescent="0.25"/>
    <row r="191" s="382" customFormat="1" x14ac:dyDescent="0.25"/>
    <row r="192" s="382" customFormat="1" x14ac:dyDescent="0.25"/>
    <row r="193" s="382" customFormat="1" x14ac:dyDescent="0.25"/>
    <row r="194" s="382" customFormat="1" x14ac:dyDescent="0.25"/>
    <row r="195" s="382" customFormat="1" x14ac:dyDescent="0.25"/>
    <row r="196" s="382" customFormat="1" x14ac:dyDescent="0.25"/>
    <row r="197" s="382" customFormat="1" x14ac:dyDescent="0.25"/>
    <row r="198" s="382" customFormat="1" x14ac:dyDescent="0.25"/>
    <row r="199" s="382" customFormat="1" x14ac:dyDescent="0.25"/>
    <row r="200" s="382" customFormat="1" x14ac:dyDescent="0.25"/>
    <row r="201" s="382" customFormat="1" x14ac:dyDescent="0.25"/>
    <row r="202" s="382" customFormat="1" x14ac:dyDescent="0.25"/>
    <row r="203" s="382" customFormat="1" x14ac:dyDescent="0.25"/>
    <row r="204" s="382" customFormat="1" x14ac:dyDescent="0.25"/>
    <row r="205" s="382" customFormat="1" x14ac:dyDescent="0.25"/>
    <row r="206" s="382" customFormat="1" x14ac:dyDescent="0.25"/>
    <row r="207" s="382" customFormat="1" x14ac:dyDescent="0.25"/>
    <row r="208" s="382" customFormat="1" x14ac:dyDescent="0.25"/>
    <row r="209" s="382" customFormat="1" x14ac:dyDescent="0.25"/>
    <row r="210" s="382" customFormat="1" x14ac:dyDescent="0.25"/>
    <row r="211" s="382" customFormat="1" x14ac:dyDescent="0.25"/>
    <row r="212" s="382" customFormat="1" x14ac:dyDescent="0.25"/>
    <row r="213" s="382" customFormat="1" x14ac:dyDescent="0.25"/>
    <row r="214" s="382" customFormat="1" x14ac:dyDescent="0.25"/>
    <row r="215" s="382" customFormat="1" x14ac:dyDescent="0.25"/>
    <row r="216" s="382" customFormat="1" x14ac:dyDescent="0.25"/>
    <row r="217" s="382" customFormat="1" x14ac:dyDescent="0.25"/>
    <row r="218" s="382" customFormat="1" x14ac:dyDescent="0.25"/>
    <row r="219" s="382" customFormat="1" x14ac:dyDescent="0.25"/>
    <row r="220" s="382" customFormat="1" x14ac:dyDescent="0.25"/>
    <row r="221" s="382" customFormat="1" x14ac:dyDescent="0.25"/>
    <row r="222" s="382" customFormat="1" x14ac:dyDescent="0.25"/>
    <row r="223" s="382" customFormat="1" x14ac:dyDescent="0.25"/>
    <row r="224" s="382" customFormat="1" x14ac:dyDescent="0.25"/>
    <row r="225" s="382" customFormat="1" x14ac:dyDescent="0.25"/>
    <row r="226" s="382" customFormat="1" x14ac:dyDescent="0.25"/>
    <row r="227" s="382" customFormat="1" x14ac:dyDescent="0.25"/>
  </sheetData>
  <mergeCells count="26">
    <mergeCell ref="B7:D7"/>
    <mergeCell ref="B2:D2"/>
    <mergeCell ref="B3:D3"/>
    <mergeCell ref="B4:D4"/>
    <mergeCell ref="B5:D5"/>
    <mergeCell ref="B6:D6"/>
    <mergeCell ref="B8:D9"/>
    <mergeCell ref="M66:P66"/>
    <mergeCell ref="M67:P67"/>
    <mergeCell ref="B79:D79"/>
    <mergeCell ref="A82:I82"/>
    <mergeCell ref="F11:H11"/>
    <mergeCell ref="B11:D11"/>
    <mergeCell ref="B25:D25"/>
    <mergeCell ref="F25:H25"/>
    <mergeCell ref="A114:C114"/>
    <mergeCell ref="A115:C115"/>
    <mergeCell ref="E141:I141"/>
    <mergeCell ref="E142:G142"/>
    <mergeCell ref="E143:G143"/>
    <mergeCell ref="D113:D114"/>
    <mergeCell ref="E113:E114"/>
    <mergeCell ref="F113:F114"/>
    <mergeCell ref="G113:G114"/>
    <mergeCell ref="H113:H114"/>
    <mergeCell ref="I113:I114"/>
  </mergeCells>
  <conditionalFormatting sqref="B97:I101 K68:K70 B120:I136 B86:I93">
    <cfRule type="expression" dxfId="7" priority="13" stopIfTrue="1">
      <formula>ISERROR(B68)</formula>
    </cfRule>
  </conditionalFormatting>
  <conditionalFormatting sqref="K67 B84:I85 D129">
    <cfRule type="cellIs" dxfId="6" priority="12" stopIfTrue="1" operator="equal">
      <formula>FALSE</formula>
    </cfRule>
  </conditionalFormatting>
  <conditionalFormatting sqref="B62:I62">
    <cfRule type="cellIs" dxfId="5" priority="11" stopIfTrue="1" operator="notEqual">
      <formula>0.92</formula>
    </cfRule>
  </conditionalFormatting>
  <conditionalFormatting sqref="B59:I61">
    <cfRule type="cellIs" dxfId="4" priority="10" stopIfTrue="1" operator="notEqual">
      <formula>0</formula>
    </cfRule>
  </conditionalFormatting>
  <conditionalFormatting sqref="E142:G143 B2:B9 C2:D3 C5:D9">
    <cfRule type="cellIs" dxfId="3" priority="9" stopIfTrue="1" operator="equal">
      <formula>0</formula>
    </cfRule>
  </conditionalFormatting>
  <conditionalFormatting sqref="B79">
    <cfRule type="expression" dxfId="2" priority="8">
      <formula>"Urban Compact"</formula>
    </cfRule>
  </conditionalFormatting>
  <conditionalFormatting sqref="B27:D27 F27:H27 B34:I41 B13:D13 F13:H13">
    <cfRule type="cellIs" dxfId="1" priority="7" operator="greaterThan">
      <formula>0</formula>
    </cfRule>
  </conditionalFormatting>
  <conditionalFormatting sqref="L5:L12">
    <cfRule type="cellIs" dxfId="0" priority="6" operator="equal">
      <formula>0</formula>
    </cfRule>
  </conditionalFormatting>
  <dataValidations count="2">
    <dataValidation type="list" allowBlank="1" showInputMessage="1" showErrorMessage="1" sqref="B79:D79">
      <formula1>"Standard Single Lane, Urban Compact"</formula1>
    </dataValidation>
    <dataValidation type="list" allowBlank="1" showInputMessage="1" showErrorMessage="1" sqref="H142:I144 D115:I116">
      <formula1>$B$33:$I$33</formula1>
    </dataValidation>
  </dataValidations>
  <pageMargins left="0.7" right="0.7" top="0.75" bottom="0.75" header="0.3" footer="0.3"/>
  <pageSetup orientation="portrait" r:id="rId1"/>
  <headerFooter>
    <oddHeader>&amp;CRoundabout Analysis Tool
Single Lane&amp;R&amp;D
Version 1.3</oddHeader>
    <oddFooter>&amp;R&amp;10Georgia Department of Transportation
Office of Traffic Operations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U52"/>
  <sheetViews>
    <sheetView topLeftCell="A10" zoomScale="115" zoomScaleNormal="115" workbookViewId="0">
      <selection activeCell="B13" sqref="B13"/>
    </sheetView>
  </sheetViews>
  <sheetFormatPr defaultRowHeight="15" x14ac:dyDescent="0.25"/>
  <cols>
    <col min="1" max="1" width="9.140625" customWidth="1"/>
    <col min="2" max="2" width="9.28515625" customWidth="1"/>
    <col min="3" max="3" width="2.42578125" customWidth="1"/>
    <col min="4" max="4" width="6.28515625" customWidth="1"/>
    <col min="5" max="5" width="2.28515625" customWidth="1"/>
    <col min="6" max="6" width="5.28515625" customWidth="1"/>
    <col min="7" max="7" width="1.85546875" customWidth="1"/>
    <col min="8" max="8" width="3.5703125" customWidth="1"/>
    <col min="9" max="9" width="1.85546875" customWidth="1"/>
    <col min="10" max="10" width="3.7109375" customWidth="1"/>
    <col min="11" max="11" width="1.85546875" customWidth="1"/>
    <col min="12" max="12" width="3.7109375" customWidth="1"/>
    <col min="13" max="13" width="1.7109375" customWidth="1"/>
    <col min="14" max="14" width="2.28515625" customWidth="1"/>
    <col min="15" max="15" width="5.85546875" customWidth="1"/>
    <col min="16" max="16" width="2.28515625" customWidth="1"/>
    <col min="17" max="17" width="5.85546875" customWidth="1"/>
    <col min="18" max="18" width="2.28515625" customWidth="1"/>
    <col min="19" max="20" width="8.7109375" customWidth="1"/>
    <col min="21" max="21" width="8.5703125" customWidth="1"/>
  </cols>
  <sheetData>
    <row r="1" spans="1:21" ht="15.75" thickBot="1" x14ac:dyDescent="0.3">
      <c r="A1" s="8" t="s">
        <v>12</v>
      </c>
      <c r="B1" s="9"/>
      <c r="C1" s="9"/>
      <c r="D1" s="10"/>
      <c r="E1" s="10"/>
      <c r="F1" s="10"/>
      <c r="G1" s="10"/>
      <c r="H1" s="10"/>
      <c r="I1" s="10"/>
      <c r="J1" s="10"/>
      <c r="K1" s="10"/>
      <c r="L1" s="10"/>
      <c r="M1" s="10"/>
      <c r="N1" s="10"/>
      <c r="O1" s="10"/>
      <c r="P1" s="10"/>
      <c r="Q1" s="10"/>
      <c r="R1" s="10"/>
      <c r="S1" s="10"/>
      <c r="T1" s="10"/>
      <c r="U1" s="11"/>
    </row>
    <row r="2" spans="1:21" ht="15.75" thickTop="1" x14ac:dyDescent="0.25">
      <c r="A2" s="1091" t="s">
        <v>13</v>
      </c>
      <c r="B2" s="1092"/>
      <c r="C2" s="12"/>
      <c r="D2" s="12"/>
      <c r="E2" s="12"/>
      <c r="F2" s="12"/>
      <c r="G2" s="12"/>
      <c r="H2" s="12"/>
      <c r="I2" s="12"/>
      <c r="J2" s="12"/>
      <c r="K2" s="13"/>
      <c r="L2" s="1093" t="s">
        <v>17</v>
      </c>
      <c r="M2" s="1093"/>
      <c r="N2" s="1093"/>
      <c r="O2" s="1093"/>
      <c r="P2" s="1093"/>
      <c r="Q2" s="1093"/>
      <c r="R2" s="14"/>
      <c r="S2" s="1"/>
      <c r="T2" s="1"/>
      <c r="U2" s="15"/>
    </row>
    <row r="3" spans="1:21" x14ac:dyDescent="0.25">
      <c r="A3" s="1094" t="s">
        <v>14</v>
      </c>
      <c r="B3" s="1095"/>
      <c r="C3" s="12"/>
      <c r="D3" s="12"/>
      <c r="E3" s="12"/>
      <c r="F3" s="12"/>
      <c r="G3" s="12"/>
      <c r="H3" s="12"/>
      <c r="I3" s="12"/>
      <c r="J3" s="12"/>
      <c r="K3" s="13"/>
      <c r="L3" s="1096" t="s">
        <v>18</v>
      </c>
      <c r="M3" s="1096"/>
      <c r="N3" s="1096"/>
      <c r="O3" s="1096"/>
      <c r="P3" s="1096"/>
      <c r="Q3" s="1096"/>
      <c r="R3" s="14"/>
      <c r="S3" s="1"/>
      <c r="T3" s="1"/>
      <c r="U3" s="15"/>
    </row>
    <row r="4" spans="1:21" x14ac:dyDescent="0.25">
      <c r="A4" s="1094" t="s">
        <v>15</v>
      </c>
      <c r="B4" s="1095"/>
      <c r="C4" s="16"/>
      <c r="D4" s="16"/>
      <c r="E4" s="16"/>
      <c r="F4" s="12"/>
      <c r="G4" s="12"/>
      <c r="H4" s="12"/>
      <c r="I4" s="12"/>
      <c r="J4" s="12"/>
      <c r="K4" s="13"/>
      <c r="L4" s="1096" t="s">
        <v>19</v>
      </c>
      <c r="M4" s="1096"/>
      <c r="N4" s="1096"/>
      <c r="O4" s="1096"/>
      <c r="P4" s="1096"/>
      <c r="Q4" s="1096"/>
      <c r="R4" s="14"/>
      <c r="S4" s="1"/>
      <c r="T4" s="1"/>
      <c r="U4" s="15"/>
    </row>
    <row r="5" spans="1:21" ht="15.75" thickBot="1" x14ac:dyDescent="0.3">
      <c r="A5" s="1094" t="s">
        <v>16</v>
      </c>
      <c r="B5" s="1095"/>
      <c r="C5" s="12"/>
      <c r="D5" s="12"/>
      <c r="E5" s="12"/>
      <c r="F5" s="12"/>
      <c r="G5" s="12"/>
      <c r="H5" s="12"/>
      <c r="I5" s="12"/>
      <c r="J5" s="12"/>
      <c r="K5" s="13"/>
      <c r="L5" s="1096" t="s">
        <v>20</v>
      </c>
      <c r="M5" s="1096"/>
      <c r="N5" s="1096"/>
      <c r="O5" s="1096"/>
      <c r="P5" s="1096"/>
      <c r="Q5" s="1096"/>
      <c r="R5" s="14"/>
      <c r="S5" s="1"/>
      <c r="T5" s="1"/>
      <c r="U5" s="15"/>
    </row>
    <row r="6" spans="1:21" ht="15.75" thickBot="1" x14ac:dyDescent="0.3">
      <c r="A6" s="8" t="s">
        <v>151</v>
      </c>
      <c r="B6" s="9"/>
      <c r="C6" s="9"/>
      <c r="D6" s="10"/>
      <c r="E6" s="10"/>
      <c r="F6" s="10"/>
      <c r="G6" s="10"/>
      <c r="H6" s="10"/>
      <c r="I6" s="10"/>
      <c r="J6" s="10"/>
      <c r="K6" s="10"/>
      <c r="L6" s="10"/>
      <c r="M6" s="10"/>
      <c r="N6" s="10"/>
      <c r="O6" s="10"/>
      <c r="P6" s="10"/>
      <c r="Q6" s="10"/>
      <c r="R6" s="10"/>
      <c r="S6" s="10"/>
      <c r="T6" s="10"/>
      <c r="U6" s="11"/>
    </row>
    <row r="7" spans="1:21" ht="15" customHeight="1" thickTop="1" x14ac:dyDescent="0.25">
      <c r="A7" s="17"/>
      <c r="B7" s="17"/>
      <c r="C7" s="17"/>
      <c r="D7" s="17"/>
      <c r="E7" s="17"/>
      <c r="F7" s="17"/>
      <c r="G7" s="17"/>
      <c r="H7" s="17"/>
      <c r="I7" s="17"/>
      <c r="J7" s="17"/>
      <c r="K7" s="17"/>
      <c r="L7" s="17"/>
      <c r="M7" s="17"/>
      <c r="N7" s="17"/>
      <c r="O7" s="17"/>
      <c r="P7" s="17"/>
      <c r="Q7" s="17"/>
      <c r="R7" s="17"/>
      <c r="S7" s="18"/>
      <c r="T7" s="19"/>
    </row>
    <row r="8" spans="1:21" ht="48" customHeight="1" x14ac:dyDescent="0.25">
      <c r="B8" s="20" t="s">
        <v>3</v>
      </c>
      <c r="C8" s="21" t="s">
        <v>23</v>
      </c>
      <c r="D8" s="20" t="s">
        <v>22</v>
      </c>
      <c r="E8" s="21" t="s">
        <v>24</v>
      </c>
      <c r="F8" s="22" t="s">
        <v>25</v>
      </c>
      <c r="G8" s="89" t="s">
        <v>26</v>
      </c>
      <c r="H8" s="24" t="s">
        <v>4</v>
      </c>
      <c r="I8" s="89" t="s">
        <v>27</v>
      </c>
      <c r="J8" s="25" t="s">
        <v>3</v>
      </c>
      <c r="K8" s="89" t="s">
        <v>23</v>
      </c>
      <c r="L8" s="25" t="s">
        <v>2</v>
      </c>
      <c r="M8" s="88" t="s">
        <v>24</v>
      </c>
      <c r="N8" s="22" t="s">
        <v>25</v>
      </c>
      <c r="O8" s="22"/>
      <c r="P8" s="66" t="s">
        <v>26</v>
      </c>
      <c r="Q8" s="67" t="s">
        <v>4</v>
      </c>
      <c r="R8" s="66" t="s">
        <v>27</v>
      </c>
      <c r="S8" s="67" t="s">
        <v>3</v>
      </c>
      <c r="T8" s="68"/>
    </row>
    <row r="9" spans="1:21" ht="24.75" customHeight="1" x14ac:dyDescent="0.25">
      <c r="B9" s="109"/>
      <c r="C9" s="110"/>
      <c r="D9" s="111"/>
      <c r="E9" s="112"/>
      <c r="F9" s="113"/>
      <c r="G9" s="114"/>
      <c r="H9" s="115"/>
      <c r="I9" s="114"/>
      <c r="J9" s="115"/>
      <c r="K9" s="114"/>
      <c r="L9" s="115"/>
      <c r="M9" s="116"/>
      <c r="N9" s="117"/>
      <c r="O9" s="118"/>
      <c r="P9" s="119"/>
      <c r="Q9" s="98"/>
      <c r="R9" s="119"/>
      <c r="S9" s="100"/>
      <c r="T9" s="71"/>
    </row>
    <row r="10" spans="1:21" ht="9.75" customHeight="1" x14ac:dyDescent="0.25">
      <c r="A10" s="27" t="s">
        <v>27</v>
      </c>
      <c r="B10" s="28"/>
      <c r="C10" s="29"/>
      <c r="D10" s="5"/>
      <c r="E10" s="30"/>
      <c r="F10" s="26"/>
      <c r="G10" s="30">
        <v>888</v>
      </c>
      <c r="H10" s="3"/>
      <c r="I10" s="3"/>
      <c r="J10" s="3"/>
      <c r="K10" s="23">
        <v>888</v>
      </c>
      <c r="L10" s="3"/>
      <c r="M10" s="31"/>
      <c r="N10" s="31"/>
      <c r="O10" s="2"/>
      <c r="P10" s="2"/>
      <c r="Q10" s="4"/>
      <c r="R10" s="4"/>
      <c r="S10" s="72"/>
      <c r="T10" s="73" t="s">
        <v>23</v>
      </c>
      <c r="U10" s="32"/>
    </row>
    <row r="11" spans="1:21" ht="24.75" customHeight="1" x14ac:dyDescent="0.25">
      <c r="A11" s="33" t="s">
        <v>4</v>
      </c>
      <c r="B11" s="106"/>
      <c r="C11" s="6"/>
      <c r="D11" s="2"/>
      <c r="E11" s="2"/>
      <c r="S11" s="70"/>
      <c r="T11" s="74" t="s">
        <v>2</v>
      </c>
    </row>
    <row r="12" spans="1:21" ht="9.75" customHeight="1" x14ac:dyDescent="0.25">
      <c r="A12" s="27" t="s">
        <v>26</v>
      </c>
      <c r="B12" s="28"/>
      <c r="C12" s="6"/>
      <c r="D12" s="2"/>
      <c r="E12" s="2"/>
      <c r="S12" s="72"/>
      <c r="T12" s="73" t="s">
        <v>24</v>
      </c>
    </row>
    <row r="13" spans="1:21" x14ac:dyDescent="0.25">
      <c r="A13" s="34"/>
      <c r="B13" s="35"/>
      <c r="C13" s="35"/>
      <c r="S13" s="75"/>
      <c r="T13" s="76" t="s">
        <v>25</v>
      </c>
    </row>
    <row r="14" spans="1:21" ht="7.5" customHeight="1" x14ac:dyDescent="0.25">
      <c r="A14" s="36" t="s">
        <v>25</v>
      </c>
      <c r="B14" s="58"/>
      <c r="D14" s="2"/>
      <c r="E14" s="2"/>
    </row>
    <row r="15" spans="1:21" ht="9.75" customHeight="1" x14ac:dyDescent="0.25">
      <c r="A15" s="90" t="s">
        <v>24</v>
      </c>
      <c r="B15" s="57"/>
      <c r="C15" s="39"/>
      <c r="D15" s="2"/>
      <c r="E15" s="2"/>
      <c r="S15" s="40"/>
      <c r="T15" s="86" t="s">
        <v>26</v>
      </c>
    </row>
    <row r="16" spans="1:21" x14ac:dyDescent="0.25">
      <c r="A16" s="41" t="s">
        <v>2</v>
      </c>
      <c r="B16" s="107"/>
      <c r="C16" s="42"/>
      <c r="D16" s="2"/>
      <c r="E16" s="2"/>
      <c r="S16" s="43"/>
      <c r="T16" s="44" t="s">
        <v>21</v>
      </c>
    </row>
    <row r="17" spans="1:21" ht="9" customHeight="1" x14ac:dyDescent="0.25">
      <c r="A17" s="90" t="s">
        <v>23</v>
      </c>
      <c r="B17" s="55"/>
      <c r="C17" s="38"/>
      <c r="D17" s="2"/>
      <c r="E17" s="2"/>
      <c r="S17" s="40"/>
      <c r="T17" s="86" t="s">
        <v>27</v>
      </c>
    </row>
    <row r="18" spans="1:21" x14ac:dyDescent="0.25">
      <c r="A18" s="41" t="s">
        <v>3</v>
      </c>
      <c r="B18" s="107"/>
      <c r="C18" s="42"/>
      <c r="D18" s="2"/>
      <c r="E18" s="2"/>
      <c r="S18" s="43"/>
      <c r="T18" s="44" t="s">
        <v>3</v>
      </c>
    </row>
    <row r="19" spans="1:21" ht="9" customHeight="1" x14ac:dyDescent="0.25">
      <c r="A19" s="90" t="s">
        <v>27</v>
      </c>
      <c r="B19" s="55"/>
      <c r="C19" s="38"/>
      <c r="D19" s="2"/>
      <c r="E19" s="2"/>
      <c r="S19" s="65"/>
      <c r="T19" s="87" t="s">
        <v>23</v>
      </c>
    </row>
    <row r="20" spans="1:21" x14ac:dyDescent="0.25">
      <c r="A20" s="41" t="s">
        <v>4</v>
      </c>
      <c r="B20" s="107"/>
      <c r="C20" s="42"/>
      <c r="D20" s="2"/>
      <c r="E20" s="2"/>
      <c r="S20" s="43"/>
      <c r="T20" s="44" t="s">
        <v>2</v>
      </c>
    </row>
    <row r="21" spans="1:21" ht="9.75" customHeight="1" x14ac:dyDescent="0.25">
      <c r="A21" s="91" t="s">
        <v>26</v>
      </c>
      <c r="B21" s="56"/>
      <c r="C21" s="45"/>
      <c r="D21" s="2"/>
      <c r="E21" s="2"/>
      <c r="S21" s="59"/>
      <c r="T21" s="86" t="s">
        <v>24</v>
      </c>
    </row>
    <row r="22" spans="1:21" ht="9.75" customHeight="1" x14ac:dyDescent="0.25">
      <c r="B22" s="108"/>
      <c r="D22" s="2"/>
      <c r="E22" s="2"/>
      <c r="S22" s="60"/>
      <c r="T22" s="37" t="s">
        <v>25</v>
      </c>
    </row>
    <row r="23" spans="1:21" x14ac:dyDescent="0.25">
      <c r="A23" s="81" t="s">
        <v>25</v>
      </c>
      <c r="B23" s="82"/>
      <c r="C23" s="46"/>
      <c r="D23" s="2"/>
      <c r="E23" s="2"/>
    </row>
    <row r="24" spans="1:21" ht="9" customHeight="1" x14ac:dyDescent="0.25">
      <c r="A24" s="83" t="s">
        <v>24</v>
      </c>
      <c r="B24" s="83"/>
      <c r="C24" s="46"/>
      <c r="D24" s="2"/>
      <c r="E24" s="2"/>
      <c r="S24" s="92"/>
      <c r="T24" s="72" t="s">
        <v>26</v>
      </c>
    </row>
    <row r="25" spans="1:21" ht="24" customHeight="1" x14ac:dyDescent="0.25">
      <c r="A25" s="84" t="s">
        <v>2</v>
      </c>
      <c r="B25" s="69"/>
      <c r="C25" s="4"/>
      <c r="D25" s="2"/>
      <c r="E25" s="2"/>
      <c r="S25" s="93"/>
      <c r="T25" s="77" t="s">
        <v>4</v>
      </c>
    </row>
    <row r="26" spans="1:21" ht="9" customHeight="1" x14ac:dyDescent="0.25">
      <c r="A26" s="83" t="s">
        <v>23</v>
      </c>
      <c r="B26" s="83"/>
      <c r="C26" s="4"/>
      <c r="D26" s="2"/>
      <c r="E26" s="2"/>
      <c r="S26" s="94"/>
      <c r="T26" s="73" t="s">
        <v>27</v>
      </c>
    </row>
    <row r="27" spans="1:21" ht="24.75" customHeight="1" x14ac:dyDescent="0.25">
      <c r="A27" s="71"/>
      <c r="B27" s="69"/>
      <c r="C27" s="99"/>
      <c r="D27" s="100"/>
      <c r="E27" s="99"/>
      <c r="F27" s="101"/>
      <c r="G27" s="102"/>
      <c r="H27" s="103"/>
      <c r="I27" s="104"/>
      <c r="J27" s="103"/>
      <c r="K27" s="104"/>
      <c r="L27" s="103"/>
      <c r="M27" s="104"/>
      <c r="N27" s="105"/>
      <c r="O27" s="95"/>
      <c r="P27" s="96"/>
      <c r="Q27" s="97"/>
      <c r="R27" s="96"/>
      <c r="S27" s="93"/>
      <c r="T27" s="71"/>
    </row>
    <row r="28" spans="1:21" ht="44.25" customHeight="1" x14ac:dyDescent="0.25">
      <c r="A28" s="71"/>
      <c r="B28" s="78" t="s">
        <v>3</v>
      </c>
      <c r="C28" s="80" t="s">
        <v>27</v>
      </c>
      <c r="D28" s="78" t="s">
        <v>4</v>
      </c>
      <c r="E28" s="80" t="s">
        <v>26</v>
      </c>
      <c r="F28" s="48" t="s">
        <v>25</v>
      </c>
      <c r="G28" s="85" t="s">
        <v>24</v>
      </c>
      <c r="H28" s="49" t="s">
        <v>2</v>
      </c>
      <c r="I28" s="85" t="s">
        <v>23</v>
      </c>
      <c r="J28" s="49" t="s">
        <v>3</v>
      </c>
      <c r="K28" s="85" t="s">
        <v>27</v>
      </c>
      <c r="L28" s="49" t="s">
        <v>4</v>
      </c>
      <c r="M28" s="85" t="s">
        <v>26</v>
      </c>
      <c r="N28" s="47"/>
      <c r="O28" s="79" t="s">
        <v>25</v>
      </c>
      <c r="P28" s="80" t="s">
        <v>26</v>
      </c>
      <c r="Q28" s="78" t="s">
        <v>2</v>
      </c>
      <c r="R28" s="80" t="s">
        <v>26</v>
      </c>
      <c r="S28" s="78" t="s">
        <v>3</v>
      </c>
      <c r="T28" s="71"/>
    </row>
    <row r="29" spans="1:21" x14ac:dyDescent="0.25">
      <c r="O29" s="50"/>
      <c r="P29" s="50"/>
      <c r="Q29" s="50"/>
      <c r="R29" s="50"/>
      <c r="S29" s="50"/>
      <c r="T29" s="50"/>
      <c r="U29" s="50"/>
    </row>
    <row r="30" spans="1:21" x14ac:dyDescent="0.25">
      <c r="O30" s="50"/>
      <c r="P30" s="50"/>
      <c r="Q30" s="50"/>
      <c r="R30" s="50"/>
      <c r="S30" s="50"/>
      <c r="T30" s="50"/>
      <c r="U30" s="50"/>
    </row>
    <row r="31" spans="1:21" x14ac:dyDescent="0.25">
      <c r="A31" s="51"/>
      <c r="B31" s="51"/>
      <c r="C31" s="1097" t="s">
        <v>28</v>
      </c>
      <c r="D31" s="1097"/>
      <c r="E31" s="1098" t="s">
        <v>29</v>
      </c>
      <c r="F31" s="1098"/>
      <c r="G31" s="1098"/>
      <c r="H31" s="1098" t="s">
        <v>30</v>
      </c>
      <c r="I31" s="1098"/>
      <c r="J31" s="1098"/>
      <c r="K31" s="1098" t="s">
        <v>31</v>
      </c>
      <c r="L31" s="1098"/>
      <c r="M31" s="1098"/>
      <c r="N31" s="1098"/>
      <c r="O31" s="1098" t="s">
        <v>32</v>
      </c>
      <c r="P31" s="1098"/>
      <c r="Q31" s="1098" t="s">
        <v>33</v>
      </c>
      <c r="R31" s="1098"/>
      <c r="S31" s="52" t="s">
        <v>34</v>
      </c>
      <c r="T31" s="52" t="s">
        <v>35</v>
      </c>
    </row>
    <row r="32" spans="1:21" x14ac:dyDescent="0.25">
      <c r="A32" s="50" t="s">
        <v>36</v>
      </c>
      <c r="B32" s="50" t="s">
        <v>37</v>
      </c>
      <c r="C32" s="1089">
        <f>N9</f>
        <v>0</v>
      </c>
      <c r="D32" s="1089"/>
      <c r="E32" s="1090">
        <f>P9</f>
        <v>0</v>
      </c>
      <c r="F32" s="1090"/>
      <c r="G32" s="1090"/>
      <c r="H32" s="1090">
        <f>S16</f>
        <v>0</v>
      </c>
      <c r="I32" s="1090"/>
      <c r="J32" s="1090"/>
      <c r="K32" s="1090">
        <f>S26</f>
        <v>0</v>
      </c>
      <c r="L32" s="1090"/>
      <c r="M32" s="1090"/>
      <c r="N32" s="1090"/>
      <c r="O32" s="1090">
        <f>J27</f>
        <v>0</v>
      </c>
      <c r="P32" s="1090"/>
      <c r="Q32" s="1090">
        <f>B26</f>
        <v>0</v>
      </c>
      <c r="R32" s="1090"/>
      <c r="S32" s="7">
        <f t="shared" ref="S32:S37" si="0">B16</f>
        <v>0</v>
      </c>
      <c r="T32" s="7">
        <f>E9</f>
        <v>0</v>
      </c>
    </row>
    <row r="33" spans="1:20" x14ac:dyDescent="0.25">
      <c r="A33" s="50"/>
      <c r="B33" s="50" t="s">
        <v>38</v>
      </c>
      <c r="C33" s="1089">
        <f>M9</f>
        <v>0</v>
      </c>
      <c r="D33" s="1089"/>
      <c r="E33" s="1090">
        <f>S13</f>
        <v>0</v>
      </c>
      <c r="F33" s="1090"/>
      <c r="G33" s="1090"/>
      <c r="H33" s="1090">
        <f>S15</f>
        <v>0</v>
      </c>
      <c r="I33" s="1090"/>
      <c r="J33" s="1090"/>
      <c r="K33" s="1090">
        <f>S25</f>
        <v>0</v>
      </c>
      <c r="L33" s="1090"/>
      <c r="M33" s="1090"/>
      <c r="N33" s="1090"/>
      <c r="O33" s="1090">
        <f>K27</f>
        <v>0</v>
      </c>
      <c r="P33" s="1090"/>
      <c r="Q33" s="1090">
        <f>B27</f>
        <v>0</v>
      </c>
      <c r="R33" s="1090"/>
      <c r="S33" s="7">
        <f t="shared" si="0"/>
        <v>0</v>
      </c>
      <c r="T33" s="7">
        <f>D9</f>
        <v>0</v>
      </c>
    </row>
    <row r="34" spans="1:20" x14ac:dyDescent="0.25">
      <c r="A34" s="50"/>
      <c r="B34" s="50" t="s">
        <v>39</v>
      </c>
      <c r="C34" s="1089">
        <f>L9</f>
        <v>0</v>
      </c>
      <c r="D34" s="1089"/>
      <c r="E34" s="1090">
        <f>S12</f>
        <v>0</v>
      </c>
      <c r="F34" s="1090"/>
      <c r="G34" s="1090"/>
      <c r="H34" s="1090">
        <f>S22</f>
        <v>0</v>
      </c>
      <c r="I34" s="1090"/>
      <c r="J34" s="1090"/>
      <c r="K34" s="1090">
        <f>S24</f>
        <v>0</v>
      </c>
      <c r="L34" s="1090"/>
      <c r="M34" s="1090"/>
      <c r="N34" s="1090"/>
      <c r="O34" s="1090">
        <f>L27</f>
        <v>0</v>
      </c>
      <c r="P34" s="1090"/>
      <c r="Q34" s="1090">
        <f>C27</f>
        <v>0</v>
      </c>
      <c r="R34" s="1090"/>
      <c r="S34" s="7">
        <f t="shared" si="0"/>
        <v>0</v>
      </c>
      <c r="T34" s="7">
        <f>C9</f>
        <v>0</v>
      </c>
    </row>
    <row r="35" spans="1:20" x14ac:dyDescent="0.25">
      <c r="A35" s="50"/>
      <c r="B35" s="50" t="s">
        <v>40</v>
      </c>
      <c r="C35" s="1089">
        <f>K9</f>
        <v>0</v>
      </c>
      <c r="D35" s="1089"/>
      <c r="E35" s="1090">
        <f>S11</f>
        <v>0</v>
      </c>
      <c r="F35" s="1090"/>
      <c r="G35" s="1090"/>
      <c r="H35" s="1090">
        <f>S21</f>
        <v>0</v>
      </c>
      <c r="I35" s="1090"/>
      <c r="J35" s="1090"/>
      <c r="K35" s="1090">
        <f>O27</f>
        <v>0</v>
      </c>
      <c r="L35" s="1090"/>
      <c r="M35" s="1090"/>
      <c r="N35" s="1090"/>
      <c r="O35" s="1090">
        <f>M27</f>
        <v>0</v>
      </c>
      <c r="P35" s="1090"/>
      <c r="Q35" s="1090">
        <f>D27</f>
        <v>0</v>
      </c>
      <c r="R35" s="1090"/>
      <c r="S35" s="7">
        <f t="shared" si="0"/>
        <v>0</v>
      </c>
      <c r="T35" s="7">
        <f>B9</f>
        <v>0</v>
      </c>
    </row>
    <row r="36" spans="1:20" x14ac:dyDescent="0.25">
      <c r="A36" s="50"/>
      <c r="B36" s="50" t="s">
        <v>41</v>
      </c>
      <c r="C36" s="1089">
        <f>J9</f>
        <v>0</v>
      </c>
      <c r="D36" s="1089"/>
      <c r="E36" s="1090">
        <f>S10</f>
        <v>0</v>
      </c>
      <c r="F36" s="1090"/>
      <c r="G36" s="1090"/>
      <c r="H36" s="1090">
        <f>S20</f>
        <v>0</v>
      </c>
      <c r="I36" s="1090"/>
      <c r="J36" s="1090"/>
      <c r="K36" s="1090">
        <f>R27</f>
        <v>0</v>
      </c>
      <c r="L36" s="1090"/>
      <c r="M36" s="1090"/>
      <c r="N36" s="1090"/>
      <c r="O36" s="1090">
        <f>F27</f>
        <v>0</v>
      </c>
      <c r="P36" s="1090"/>
      <c r="Q36" s="1090">
        <f>E27</f>
        <v>0</v>
      </c>
      <c r="R36" s="1090"/>
      <c r="S36" s="7">
        <f t="shared" si="0"/>
        <v>0</v>
      </c>
      <c r="T36" s="7">
        <f>B10</f>
        <v>0</v>
      </c>
    </row>
    <row r="37" spans="1:20" x14ac:dyDescent="0.25">
      <c r="A37" s="50"/>
      <c r="B37" s="50" t="s">
        <v>42</v>
      </c>
      <c r="C37" s="1089">
        <f>I9</f>
        <v>0</v>
      </c>
      <c r="D37" s="1089"/>
      <c r="E37" s="1090">
        <f>S9</f>
        <v>0</v>
      </c>
      <c r="F37" s="1090"/>
      <c r="G37" s="1090"/>
      <c r="H37" s="1090">
        <f>S19</f>
        <v>0</v>
      </c>
      <c r="I37" s="1090"/>
      <c r="J37" s="1090"/>
      <c r="K37" s="1090">
        <f>Q27</f>
        <v>0</v>
      </c>
      <c r="L37" s="1090"/>
      <c r="M37" s="1090"/>
      <c r="N37" s="1090"/>
      <c r="O37" s="1090">
        <f>I27</f>
        <v>0</v>
      </c>
      <c r="P37" s="1090"/>
      <c r="Q37" s="1090">
        <f>B23</f>
        <v>0</v>
      </c>
      <c r="R37" s="1090"/>
      <c r="S37" s="7">
        <f t="shared" si="0"/>
        <v>0</v>
      </c>
      <c r="T37" s="7">
        <f>B11</f>
        <v>0</v>
      </c>
    </row>
    <row r="38" spans="1:20" x14ac:dyDescent="0.25">
      <c r="A38" s="50"/>
      <c r="B38" s="50" t="s">
        <v>43</v>
      </c>
      <c r="C38" s="1089">
        <f>H9</f>
        <v>0</v>
      </c>
      <c r="D38" s="1089"/>
      <c r="E38" s="1090">
        <f>R9</f>
        <v>0</v>
      </c>
      <c r="F38" s="1090"/>
      <c r="G38" s="1090"/>
      <c r="H38" s="1090">
        <f>S18</f>
        <v>0</v>
      </c>
      <c r="I38" s="1090"/>
      <c r="J38" s="1090"/>
      <c r="K38" s="1090">
        <f>P27</f>
        <v>0</v>
      </c>
      <c r="L38" s="1090"/>
      <c r="M38" s="1090"/>
      <c r="N38" s="1090"/>
      <c r="O38" s="1090">
        <f>H27</f>
        <v>0</v>
      </c>
      <c r="P38" s="1090"/>
      <c r="Q38" s="1090">
        <f>B24</f>
        <v>0</v>
      </c>
      <c r="R38" s="1090"/>
      <c r="S38" s="7">
        <f>B14</f>
        <v>0</v>
      </c>
      <c r="T38" s="7">
        <f>B12</f>
        <v>0</v>
      </c>
    </row>
    <row r="39" spans="1:20" x14ac:dyDescent="0.25">
      <c r="A39" s="50"/>
      <c r="B39" s="50" t="s">
        <v>44</v>
      </c>
      <c r="C39" s="1089">
        <f>G9</f>
        <v>0</v>
      </c>
      <c r="D39" s="1089"/>
      <c r="E39" s="1090">
        <f>Q9</f>
        <v>0</v>
      </c>
      <c r="F39" s="1090"/>
      <c r="G39" s="1090"/>
      <c r="H39" s="1090">
        <f>S17</f>
        <v>0</v>
      </c>
      <c r="I39" s="1090"/>
      <c r="J39" s="1090"/>
      <c r="K39" s="1090">
        <f>S27</f>
        <v>0</v>
      </c>
      <c r="L39" s="1090"/>
      <c r="M39" s="1090"/>
      <c r="N39" s="1090"/>
      <c r="O39" s="1090">
        <f>G27</f>
        <v>0</v>
      </c>
      <c r="P39" s="1090"/>
      <c r="Q39" s="1090">
        <f>B25</f>
        <v>0</v>
      </c>
      <c r="R39" s="1090"/>
      <c r="S39" s="7">
        <f>B15</f>
        <v>0</v>
      </c>
      <c r="T39" s="7">
        <f>F9</f>
        <v>0</v>
      </c>
    </row>
    <row r="40" spans="1:20" x14ac:dyDescent="0.25">
      <c r="A40" s="50"/>
      <c r="B40" s="54" t="s">
        <v>45</v>
      </c>
      <c r="C40" s="1089">
        <f>SUM(C32:D39)</f>
        <v>0</v>
      </c>
      <c r="D40" s="1089"/>
      <c r="E40" s="1090">
        <f>SUM(E32:G39)</f>
        <v>0</v>
      </c>
      <c r="F40" s="1090"/>
      <c r="G40" s="1090"/>
      <c r="H40" s="1090">
        <f>S23</f>
        <v>0</v>
      </c>
      <c r="I40" s="1090"/>
      <c r="J40" s="1090"/>
      <c r="K40" s="1090">
        <f>SUM(K32:N39)</f>
        <v>0</v>
      </c>
      <c r="L40" s="1090"/>
      <c r="M40" s="1090"/>
      <c r="N40" s="1090"/>
      <c r="O40" s="1090">
        <f>SUM(O32:P39)</f>
        <v>0</v>
      </c>
      <c r="P40" s="1090"/>
      <c r="Q40" s="1090">
        <f>SUM(Q32:R39)</f>
        <v>0</v>
      </c>
      <c r="R40" s="1090"/>
      <c r="S40" s="7">
        <f>SUM(S32:S39)</f>
        <v>0</v>
      </c>
      <c r="T40" s="7">
        <f>SUM(T32:T39)</f>
        <v>0</v>
      </c>
    </row>
    <row r="41" spans="1:20" x14ac:dyDescent="0.25">
      <c r="C41" s="1089"/>
      <c r="D41" s="1089"/>
      <c r="E41" s="1090"/>
      <c r="F41" s="1090"/>
      <c r="G41" s="1090"/>
      <c r="H41" s="1090"/>
      <c r="I41" s="1090"/>
      <c r="J41" s="1090"/>
      <c r="K41" s="1090"/>
      <c r="L41" s="1090"/>
      <c r="M41" s="1090"/>
      <c r="N41" s="1090"/>
      <c r="O41" s="1090"/>
      <c r="P41" s="1090"/>
      <c r="Q41" s="1090"/>
      <c r="R41" s="1090"/>
      <c r="S41" s="53"/>
      <c r="T41" s="53"/>
    </row>
    <row r="42" spans="1:20" x14ac:dyDescent="0.25">
      <c r="C42" s="1089"/>
      <c r="D42" s="1089"/>
      <c r="E42" s="1090"/>
      <c r="F42" s="1090"/>
      <c r="G42" s="1090"/>
      <c r="H42" s="1090"/>
      <c r="I42" s="1090"/>
      <c r="J42" s="1090"/>
      <c r="K42" s="1090"/>
      <c r="L42" s="1090"/>
      <c r="M42" s="1090"/>
      <c r="N42" s="1090"/>
      <c r="O42" s="1090"/>
      <c r="P42" s="1090"/>
      <c r="Q42" s="1090"/>
      <c r="R42" s="1090"/>
      <c r="S42" s="53"/>
      <c r="T42" s="53"/>
    </row>
    <row r="43" spans="1:20" x14ac:dyDescent="0.25">
      <c r="C43" s="1089"/>
      <c r="D43" s="1089"/>
      <c r="E43" s="1090"/>
      <c r="F43" s="1090"/>
      <c r="G43" s="1090"/>
      <c r="H43" s="1090"/>
      <c r="I43" s="1090"/>
      <c r="J43" s="1090"/>
      <c r="K43" s="1090"/>
      <c r="L43" s="1090"/>
      <c r="M43" s="1090"/>
      <c r="N43" s="1090"/>
      <c r="O43" s="1090"/>
      <c r="P43" s="1090"/>
      <c r="Q43" s="1090"/>
      <c r="R43" s="1090"/>
      <c r="S43" s="53"/>
      <c r="T43" s="53"/>
    </row>
    <row r="44" spans="1:20" x14ac:dyDescent="0.25">
      <c r="C44" s="1089"/>
      <c r="D44" s="1089"/>
      <c r="E44" s="1090"/>
      <c r="F44" s="1090"/>
      <c r="G44" s="1090"/>
      <c r="H44" s="1090"/>
      <c r="I44" s="1090"/>
      <c r="J44" s="1090"/>
      <c r="K44" s="1090"/>
      <c r="L44" s="1090"/>
      <c r="M44" s="1090"/>
      <c r="N44" s="1090"/>
      <c r="O44" s="1090"/>
      <c r="P44" s="1090"/>
      <c r="Q44" s="1090"/>
      <c r="R44" s="1090"/>
      <c r="S44" s="53"/>
      <c r="T44" s="53"/>
    </row>
    <row r="45" spans="1:20" x14ac:dyDescent="0.25">
      <c r="C45" s="1089"/>
      <c r="D45" s="1089"/>
      <c r="E45" s="1090"/>
      <c r="F45" s="1090"/>
      <c r="G45" s="1090"/>
      <c r="H45" s="1090"/>
      <c r="I45" s="1090"/>
      <c r="J45" s="1090"/>
      <c r="K45" s="1090"/>
      <c r="L45" s="1090"/>
      <c r="M45" s="1090"/>
      <c r="N45" s="1090"/>
      <c r="O45" s="1090"/>
      <c r="P45" s="1090"/>
      <c r="Q45" s="1090"/>
      <c r="R45" s="1090"/>
      <c r="S45" s="53"/>
      <c r="T45" s="53"/>
    </row>
    <row r="46" spans="1:20" x14ac:dyDescent="0.25">
      <c r="C46" s="1089"/>
      <c r="D46" s="1089"/>
      <c r="E46" s="1090"/>
      <c r="F46" s="1090"/>
      <c r="G46" s="1090"/>
      <c r="H46" s="1090"/>
      <c r="I46" s="1090"/>
      <c r="J46" s="1090"/>
      <c r="K46" s="1090"/>
      <c r="L46" s="1090"/>
      <c r="M46" s="1090"/>
      <c r="N46" s="1090"/>
      <c r="O46" s="1090"/>
      <c r="P46" s="1090"/>
      <c r="Q46" s="1090"/>
      <c r="R46" s="1090"/>
      <c r="S46" s="53"/>
      <c r="T46" s="53"/>
    </row>
    <row r="47" spans="1:20" x14ac:dyDescent="0.25">
      <c r="E47" s="53"/>
      <c r="F47" s="53"/>
      <c r="G47" s="53"/>
      <c r="H47" s="53"/>
      <c r="I47" s="53"/>
      <c r="J47" s="53"/>
      <c r="K47" s="53"/>
      <c r="L47" s="53"/>
      <c r="M47" s="53"/>
      <c r="N47" s="53"/>
      <c r="O47" s="53"/>
      <c r="P47" s="53"/>
      <c r="Q47" s="53"/>
      <c r="R47" s="53"/>
      <c r="S47" s="53"/>
      <c r="T47" s="53"/>
    </row>
    <row r="48" spans="1:20" x14ac:dyDescent="0.25">
      <c r="E48" s="53"/>
      <c r="F48" s="53"/>
      <c r="G48" s="53"/>
      <c r="H48" s="53"/>
      <c r="I48" s="53"/>
      <c r="J48" s="53"/>
      <c r="K48" s="53"/>
      <c r="L48" s="53"/>
      <c r="M48" s="53"/>
      <c r="N48" s="53"/>
      <c r="O48" s="53"/>
      <c r="P48" s="53"/>
      <c r="Q48" s="53"/>
      <c r="R48" s="53"/>
      <c r="S48" s="53"/>
      <c r="T48" s="53"/>
    </row>
    <row r="49" spans="5:20" x14ac:dyDescent="0.25">
      <c r="E49" s="53"/>
      <c r="F49" s="53"/>
      <c r="G49" s="53"/>
      <c r="H49" s="53"/>
      <c r="I49" s="53"/>
      <c r="J49" s="53"/>
      <c r="K49" s="53"/>
      <c r="L49" s="53"/>
      <c r="M49" s="53"/>
      <c r="N49" s="53"/>
      <c r="O49" s="53"/>
      <c r="P49" s="53"/>
      <c r="Q49" s="53"/>
      <c r="R49" s="53"/>
      <c r="S49" s="53"/>
      <c r="T49" s="53"/>
    </row>
    <row r="50" spans="5:20" x14ac:dyDescent="0.25">
      <c r="E50" s="53"/>
      <c r="F50" s="53"/>
      <c r="G50" s="53"/>
      <c r="H50" s="53"/>
      <c r="I50" s="53"/>
      <c r="J50" s="53"/>
      <c r="K50" s="53"/>
      <c r="L50" s="53"/>
      <c r="M50" s="53"/>
      <c r="N50" s="53"/>
      <c r="O50" s="53"/>
      <c r="P50" s="53"/>
      <c r="Q50" s="53"/>
      <c r="R50" s="53"/>
      <c r="S50" s="53"/>
      <c r="T50" s="53"/>
    </row>
    <row r="51" spans="5:20" x14ac:dyDescent="0.25">
      <c r="E51" s="53"/>
      <c r="F51" s="53"/>
      <c r="G51" s="53"/>
      <c r="H51" s="53"/>
      <c r="I51" s="53"/>
      <c r="J51" s="53"/>
      <c r="K51" s="53"/>
      <c r="L51" s="53"/>
      <c r="M51" s="53"/>
      <c r="N51" s="53"/>
      <c r="O51" s="53"/>
      <c r="P51" s="53"/>
      <c r="Q51" s="53"/>
      <c r="R51" s="53"/>
      <c r="S51" s="53"/>
      <c r="T51" s="53"/>
    </row>
    <row r="52" spans="5:20" x14ac:dyDescent="0.25">
      <c r="F52" s="53"/>
      <c r="G52" s="53"/>
      <c r="H52" s="53"/>
      <c r="I52" s="7"/>
      <c r="J52" s="53"/>
      <c r="K52" s="53"/>
      <c r="L52" s="53"/>
      <c r="M52" s="53"/>
      <c r="N52" s="7"/>
    </row>
  </sheetData>
  <mergeCells count="104">
    <mergeCell ref="A2:B2"/>
    <mergeCell ref="L2:Q2"/>
    <mergeCell ref="A3:B3"/>
    <mergeCell ref="L3:Q3"/>
    <mergeCell ref="A4:B4"/>
    <mergeCell ref="L4:Q4"/>
    <mergeCell ref="C32:D32"/>
    <mergeCell ref="E32:G32"/>
    <mergeCell ref="H32:J32"/>
    <mergeCell ref="K32:N32"/>
    <mergeCell ref="O32:P32"/>
    <mergeCell ref="Q32:R32"/>
    <mergeCell ref="A5:B5"/>
    <mergeCell ref="L5:Q5"/>
    <mergeCell ref="C31:D31"/>
    <mergeCell ref="E31:G31"/>
    <mergeCell ref="H31:J31"/>
    <mergeCell ref="K31:N31"/>
    <mergeCell ref="O31:P31"/>
    <mergeCell ref="Q31:R31"/>
    <mergeCell ref="C34:D34"/>
    <mergeCell ref="E34:G34"/>
    <mergeCell ref="H34:J34"/>
    <mergeCell ref="K34:N34"/>
    <mergeCell ref="O34:P34"/>
    <mergeCell ref="Q34:R34"/>
    <mergeCell ref="C33:D33"/>
    <mergeCell ref="E33:G33"/>
    <mergeCell ref="H33:J33"/>
    <mergeCell ref="K33:N33"/>
    <mergeCell ref="O33:P33"/>
    <mergeCell ref="Q33:R33"/>
    <mergeCell ref="C36:D36"/>
    <mergeCell ref="E36:G36"/>
    <mergeCell ref="H36:J36"/>
    <mergeCell ref="K36:N36"/>
    <mergeCell ref="O36:P36"/>
    <mergeCell ref="Q36:R36"/>
    <mergeCell ref="C35:D35"/>
    <mergeCell ref="E35:G35"/>
    <mergeCell ref="H35:J35"/>
    <mergeCell ref="K35:N35"/>
    <mergeCell ref="O35:P35"/>
    <mergeCell ref="Q35:R35"/>
    <mergeCell ref="C38:D38"/>
    <mergeCell ref="E38:G38"/>
    <mergeCell ref="H38:J38"/>
    <mergeCell ref="K38:N38"/>
    <mergeCell ref="O38:P38"/>
    <mergeCell ref="Q38:R38"/>
    <mergeCell ref="C37:D37"/>
    <mergeCell ref="E37:G37"/>
    <mergeCell ref="H37:J37"/>
    <mergeCell ref="K37:N37"/>
    <mergeCell ref="O37:P37"/>
    <mergeCell ref="Q37:R37"/>
    <mergeCell ref="C40:D40"/>
    <mergeCell ref="E40:G40"/>
    <mergeCell ref="H40:J40"/>
    <mergeCell ref="K40:N40"/>
    <mergeCell ref="O40:P40"/>
    <mergeCell ref="Q40:R40"/>
    <mergeCell ref="C39:D39"/>
    <mergeCell ref="E39:G39"/>
    <mergeCell ref="H39:J39"/>
    <mergeCell ref="K39:N39"/>
    <mergeCell ref="O39:P39"/>
    <mergeCell ref="Q39:R39"/>
    <mergeCell ref="C42:D42"/>
    <mergeCell ref="E42:G42"/>
    <mergeCell ref="H42:J42"/>
    <mergeCell ref="K42:N42"/>
    <mergeCell ref="O42:P42"/>
    <mergeCell ref="Q42:R42"/>
    <mergeCell ref="C41:D41"/>
    <mergeCell ref="E41:G41"/>
    <mergeCell ref="H41:J41"/>
    <mergeCell ref="K41:N41"/>
    <mergeCell ref="O41:P41"/>
    <mergeCell ref="Q41:R41"/>
    <mergeCell ref="C44:D44"/>
    <mergeCell ref="E44:G44"/>
    <mergeCell ref="H44:J44"/>
    <mergeCell ref="K44:N44"/>
    <mergeCell ref="O44:P44"/>
    <mergeCell ref="Q44:R44"/>
    <mergeCell ref="C43:D43"/>
    <mergeCell ref="E43:G43"/>
    <mergeCell ref="H43:J43"/>
    <mergeCell ref="K43:N43"/>
    <mergeCell ref="O43:P43"/>
    <mergeCell ref="Q43:R43"/>
    <mergeCell ref="C46:D46"/>
    <mergeCell ref="E46:G46"/>
    <mergeCell ref="H46:J46"/>
    <mergeCell ref="K46:N46"/>
    <mergeCell ref="O46:P46"/>
    <mergeCell ref="Q46:R46"/>
    <mergeCell ref="C45:D45"/>
    <mergeCell ref="E45:G45"/>
    <mergeCell ref="H45:J45"/>
    <mergeCell ref="K45:N45"/>
    <mergeCell ref="O45:P45"/>
    <mergeCell ref="Q45:R45"/>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79E2534826EE4C8C828D090670D6A4" ma:contentTypeVersion="13" ma:contentTypeDescription="Create a new document." ma:contentTypeScope="" ma:versionID="5301d1cfb588f7a9cd7758db126fe423">
  <xsd:schema xmlns:xsd="http://www.w3.org/2001/XMLSchema" xmlns:xs="http://www.w3.org/2001/XMLSchema" xmlns:p="http://schemas.microsoft.com/office/2006/metadata/properties" xmlns:ns3="84da726b-b05b-45fa-99d8-864bb051c304" xmlns:ns4="a732cfb4-895d-4ed4-8145-7ccb7c78c60d" targetNamespace="http://schemas.microsoft.com/office/2006/metadata/properties" ma:root="true" ma:fieldsID="5bc6d7cfba3832c7299b0aef877aeebf" ns3:_="" ns4:_="">
    <xsd:import namespace="84da726b-b05b-45fa-99d8-864bb051c304"/>
    <xsd:import namespace="a732cfb4-895d-4ed4-8145-7ccb7c78c60d"/>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da726b-b05b-45fa-99d8-864bb051c3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732cfb4-895d-4ed4-8145-7ccb7c78c60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17E688-D5F3-4896-B9CA-5F23236267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da726b-b05b-45fa-99d8-864bb051c304"/>
    <ds:schemaRef ds:uri="a732cfb4-895d-4ed4-8145-7ccb7c78c6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1C2BEB-D15A-49CF-B631-2B4EEC8E0948}">
  <ds:schemaRefs>
    <ds:schemaRef ds:uri="http://schemas.microsoft.com/office/2006/documentManagement/types"/>
    <ds:schemaRef ds:uri="http://schemas.microsoft.com/office/infopath/2007/PartnerControls"/>
    <ds:schemaRef ds:uri="http://www.w3.org/XML/1998/namespace"/>
    <ds:schemaRef ds:uri="http://purl.org/dc/dcmitype/"/>
    <ds:schemaRef ds:uri="http://purl.org/dc/elements/1.1/"/>
    <ds:schemaRef ds:uri="http://schemas.openxmlformats.org/package/2006/metadata/core-properties"/>
    <ds:schemaRef ds:uri="a732cfb4-895d-4ed4-8145-7ccb7c78c60d"/>
    <ds:schemaRef ds:uri="84da726b-b05b-45fa-99d8-864bb051c304"/>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776BB47F-8D3B-43D0-AFB2-0FCE9DD0EE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START HERE</vt:lpstr>
      <vt:lpstr>Instructions</vt:lpstr>
      <vt:lpstr>Mini</vt:lpstr>
      <vt:lpstr>Single Lane</vt:lpstr>
      <vt:lpstr>Multi-Lane</vt:lpstr>
      <vt:lpstr>Multi-Lane v2.0</vt:lpstr>
      <vt:lpstr>Volume Balance Tool</vt:lpstr>
      <vt:lpstr>8</vt:lpstr>
      <vt:lpstr>Instructions!Print_Area</vt:lpstr>
      <vt:lpstr>Mini!Print_Area</vt:lpstr>
      <vt:lpstr>'Multi-Lane'!Print_Area</vt:lpstr>
      <vt:lpstr>'Multi-Lane v2.0'!Print_Area</vt:lpstr>
      <vt:lpstr>'Single Lane'!Print_Area</vt:lpstr>
      <vt:lpstr>'START HERE'!Print_Area</vt:lpstr>
      <vt:lpstr>'Volume Balance Tool'!Print_Area</vt:lpstr>
    </vt:vector>
  </TitlesOfParts>
  <Company>Georgia DOT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cllindsey</dc:creator>
  <cp:lastModifiedBy>Trevorrow, Daniel J</cp:lastModifiedBy>
  <cp:lastPrinted>2020-01-08T18:42:19Z</cp:lastPrinted>
  <dcterms:created xsi:type="dcterms:W3CDTF">2009-02-16T15:17:21Z</dcterms:created>
  <dcterms:modified xsi:type="dcterms:W3CDTF">2020-01-08T18:42:48Z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0x0101001179E2534826EE4C8C828D090670D6A4</vt:lpwstr>
  </property>
</Properties>
</file>